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hana\Desktop\PLE-CC\PLE CC Quiz\"/>
    </mc:Choice>
  </mc:AlternateContent>
  <xr:revisionPtr revIDLastSave="0" documentId="11_D603293124353F3079803B605CF31BAE38FB7751" xr6:coauthVersionLast="47" xr6:coauthVersionMax="47" xr10:uidLastSave="{00000000-0000-0000-0000-000000000000}"/>
  <bookViews>
    <workbookView xWindow="-108" yWindow="-108" windowWidth="23256" windowHeight="12456" firstSheet="8" activeTab="12" xr2:uid="{00000000-000D-0000-FFFF-FFFF00000000}"/>
  </bookViews>
  <sheets>
    <sheet name="สารบัญ" sheetId="1" r:id="rId1"/>
    <sheet name="📥 รวมข้อสอบด่วน" sheetId="2" r:id="rId2"/>
    <sheet name="Log_Quiz_Results" sheetId="3" r:id="rId3"/>
    <sheet name="🔍 รวมข้อสอบ &amp; กรองข้อมูล" sheetId="4" r:id="rId4"/>
    <sheet name="1. Musculoskeleton" sheetId="5" r:id="rId5"/>
    <sheet name="2. Cardiovascular" sheetId="6" r:id="rId6"/>
    <sheet name="3. Dermatologic" sheetId="7" r:id="rId7"/>
    <sheet name="4. Endocrine" sheetId="8" r:id="rId8"/>
    <sheet name="5. Gastrointestinal" sheetId="9" r:id="rId9"/>
    <sheet name="6. Hematologic" sheetId="10" r:id="rId10"/>
    <sheet name="7. Immunologic" sheetId="11" r:id="rId11"/>
    <sheet name="8. Infectious diseases" sheetId="12" r:id="rId12"/>
    <sheet name="9. Neurologic" sheetId="13" r:id="rId13"/>
    <sheet name="10. Psychiatric" sheetId="14" r:id="rId14"/>
    <sheet name="11. Pulmonary" sheetId="15" r:id="rId15"/>
    <sheet name="12. GynaecologicGenitourinary" sheetId="16" r:id="rId16"/>
    <sheet name="13. Eye disorder" sheetId="17" r:id="rId17"/>
    <sheet name="14. Oncologic" sheetId="18" r:id="rId18"/>
    <sheet name="15. Renal" sheetId="19" r:id="rId19"/>
    <sheet name="16. Toxicology &amp; Poisoning" sheetId="20" r:id="rId20"/>
    <sheet name="1. Titrations" sheetId="21" r:id="rId21"/>
    <sheet name="2. Chromatography" sheetId="22" r:id="rId22"/>
    <sheet name="3. Spectroscopy &amp; Optics" sheetId="23" r:id="rId23"/>
    <sheet name="4. Preformulation &amp; GMP" sheetId="24" r:id="rId24"/>
    <sheet name="5. Pharmaceutical Calc" sheetId="25" r:id="rId25"/>
    <sheet name="6. Solid Dosage Forms" sheetId="26" r:id="rId26"/>
    <sheet name="7. Liquid &amp; Semisolids" sheetId="27" r:id="rId27"/>
    <sheet name="8. Biopharm &amp; Drug Release" sheetId="28" r:id="rId28"/>
    <sheet name="9. Sterile &amp; Special Forms" sheetId="29" r:id="rId29"/>
    <sheet name="10. Biotech Products" sheetId="30" r:id="rId30"/>
    <sheet name="11. Herbal Products" sheetId="31" r:id="rId31"/>
    <sheet name="12. Food Products &amp; QA" sheetId="32" r:id="rId32"/>
    <sheet name="13. Medicinal Chemistry" sheetId="33" r:id="rId33"/>
    <sheet name="1. Pharmacy Laws &amp; Ethics" sheetId="34" r:id="rId34"/>
    <sheet name="2. Pharmacy Administration &amp; Sy" sheetId="35" r:id="rId35"/>
    <sheet name="3. Research &amp; Biostats" sheetId="36" r:id="rId36"/>
    <sheet name="User_Profiles" sheetId="37" r:id="rId37"/>
    <sheet name="Community_Chat" sheetId="38" r:id="rId38"/>
    <sheet name="Report_Quiz_Issues" sheetId="39" r:id="rId39"/>
    <sheet name="18. Clinical Nutrition" sheetId="40" r:id="rId40"/>
    <sheet name="17. Herbal Medicine" sheetId="41" r:id="rId4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41" l="1"/>
  <c r="A1" i="40"/>
  <c r="A1" i="38"/>
  <c r="A1" i="37"/>
  <c r="A1" i="36"/>
  <c r="A1" i="35"/>
  <c r="A1" i="34"/>
  <c r="A1" i="33"/>
  <c r="A1" i="32"/>
  <c r="A1" i="31"/>
  <c r="A1" i="30"/>
  <c r="A1" i="29"/>
  <c r="A1" i="28"/>
  <c r="A1" i="27"/>
  <c r="A1" i="26"/>
  <c r="A1" i="25"/>
  <c r="A1" i="24"/>
  <c r="A1" i="23"/>
  <c r="A1" i="22"/>
  <c r="A1" i="21"/>
  <c r="A1" i="20"/>
  <c r="A1" i="19"/>
  <c r="A1" i="18"/>
  <c r="A1" i="17"/>
  <c r="A1" i="16"/>
  <c r="A1" i="15"/>
  <c r="A1" i="14"/>
  <c r="A1" i="13"/>
  <c r="A1" i="12"/>
  <c r="A1" i="11"/>
  <c r="A1" i="10"/>
  <c r="A1" i="9"/>
  <c r="A1" i="8"/>
  <c r="A1" i="7"/>
  <c r="A1" i="6"/>
  <c r="A1" i="5"/>
  <c r="A1" i="2"/>
  <c r="P101" i="4"/>
  <c r="O101" i="4"/>
  <c r="N101" i="4"/>
  <c r="M101" i="4"/>
  <c r="L101" i="4"/>
  <c r="J101" i="4"/>
  <c r="I101" i="4"/>
  <c r="H101" i="4"/>
  <c r="G101" i="4"/>
  <c r="F101" i="4"/>
  <c r="E101" i="4"/>
  <c r="D101" i="4"/>
  <c r="B101" i="4"/>
  <c r="A101" i="4"/>
  <c r="P100" i="4"/>
  <c r="O100" i="4"/>
  <c r="N100" i="4"/>
  <c r="M100" i="4"/>
  <c r="L100" i="4"/>
  <c r="J100" i="4"/>
  <c r="I100" i="4"/>
  <c r="H100" i="4"/>
  <c r="G100" i="4"/>
  <c r="F100" i="4"/>
  <c r="E100" i="4"/>
  <c r="D100" i="4"/>
  <c r="B100" i="4"/>
  <c r="A100" i="4"/>
  <c r="P99" i="4"/>
  <c r="O99" i="4"/>
  <c r="N99" i="4"/>
  <c r="M99" i="4"/>
  <c r="L99" i="4"/>
  <c r="J99" i="4"/>
  <c r="I99" i="4"/>
  <c r="H99" i="4"/>
  <c r="G99" i="4"/>
  <c r="F99" i="4"/>
  <c r="E99" i="4"/>
  <c r="D99" i="4"/>
  <c r="B99" i="4"/>
  <c r="A99" i="4"/>
  <c r="P98" i="4"/>
  <c r="O98" i="4"/>
  <c r="N98" i="4"/>
  <c r="M98" i="4"/>
  <c r="L98" i="4"/>
  <c r="J98" i="4"/>
  <c r="I98" i="4"/>
  <c r="H98" i="4"/>
  <c r="G98" i="4"/>
  <c r="F98" i="4"/>
  <c r="E98" i="4"/>
  <c r="D98" i="4"/>
  <c r="B98" i="4"/>
  <c r="A98" i="4"/>
  <c r="P97" i="4"/>
  <c r="O97" i="4"/>
  <c r="N97" i="4"/>
  <c r="M97" i="4"/>
  <c r="L97" i="4"/>
  <c r="J97" i="4"/>
  <c r="I97" i="4"/>
  <c r="H97" i="4"/>
  <c r="G97" i="4"/>
  <c r="F97" i="4"/>
  <c r="E97" i="4"/>
  <c r="D97" i="4"/>
  <c r="B97" i="4"/>
  <c r="A97" i="4"/>
  <c r="P96" i="4"/>
  <c r="O96" i="4"/>
  <c r="N96" i="4"/>
  <c r="M96" i="4"/>
  <c r="L96" i="4"/>
  <c r="J96" i="4"/>
  <c r="I96" i="4"/>
  <c r="H96" i="4"/>
  <c r="G96" i="4"/>
  <c r="F96" i="4"/>
  <c r="E96" i="4"/>
  <c r="D96" i="4"/>
  <c r="B96" i="4"/>
  <c r="A96" i="4"/>
  <c r="P95" i="4"/>
  <c r="O95" i="4"/>
  <c r="N95" i="4"/>
  <c r="M95" i="4"/>
  <c r="L95" i="4"/>
  <c r="J95" i="4"/>
  <c r="I95" i="4"/>
  <c r="H95" i="4"/>
  <c r="G95" i="4"/>
  <c r="F95" i="4"/>
  <c r="E95" i="4"/>
  <c r="D95" i="4"/>
  <c r="B95" i="4"/>
  <c r="A95" i="4"/>
  <c r="P94" i="4"/>
  <c r="O94" i="4"/>
  <c r="N94" i="4"/>
  <c r="M94" i="4"/>
  <c r="L94" i="4"/>
  <c r="J94" i="4"/>
  <c r="I94" i="4"/>
  <c r="H94" i="4"/>
  <c r="G94" i="4"/>
  <c r="F94" i="4"/>
  <c r="E94" i="4"/>
  <c r="D94" i="4"/>
  <c r="B94" i="4"/>
  <c r="A94" i="4"/>
  <c r="P93" i="4"/>
  <c r="O93" i="4"/>
  <c r="N93" i="4"/>
  <c r="M93" i="4"/>
  <c r="L93" i="4"/>
  <c r="J93" i="4"/>
  <c r="I93" i="4"/>
  <c r="H93" i="4"/>
  <c r="G93" i="4"/>
  <c r="F93" i="4"/>
  <c r="E93" i="4"/>
  <c r="D93" i="4"/>
  <c r="B93" i="4"/>
  <c r="A93" i="4"/>
  <c r="P92" i="4"/>
  <c r="O92" i="4"/>
  <c r="N92" i="4"/>
  <c r="M92" i="4"/>
  <c r="L92" i="4"/>
  <c r="J92" i="4"/>
  <c r="I92" i="4"/>
  <c r="H92" i="4"/>
  <c r="G92" i="4"/>
  <c r="F92" i="4"/>
  <c r="E92" i="4"/>
  <c r="D92" i="4"/>
  <c r="B92" i="4"/>
  <c r="A92" i="4"/>
  <c r="P91" i="4"/>
  <c r="O91" i="4"/>
  <c r="N91" i="4"/>
  <c r="M91" i="4"/>
  <c r="L91" i="4"/>
  <c r="J91" i="4"/>
  <c r="I91" i="4"/>
  <c r="H91" i="4"/>
  <c r="G91" i="4"/>
  <c r="F91" i="4"/>
  <c r="E91" i="4"/>
  <c r="D91" i="4"/>
  <c r="B91" i="4"/>
  <c r="A91" i="4"/>
  <c r="P90" i="4"/>
  <c r="O90" i="4"/>
  <c r="N90" i="4"/>
  <c r="M90" i="4"/>
  <c r="L90" i="4"/>
  <c r="J90" i="4"/>
  <c r="I90" i="4"/>
  <c r="H90" i="4"/>
  <c r="G90" i="4"/>
  <c r="F90" i="4"/>
  <c r="E90" i="4"/>
  <c r="D90" i="4"/>
  <c r="B90" i="4"/>
  <c r="A90" i="4"/>
  <c r="P89" i="4"/>
  <c r="O89" i="4"/>
  <c r="N89" i="4"/>
  <c r="M89" i="4"/>
  <c r="L89" i="4"/>
  <c r="J89" i="4"/>
  <c r="I89" i="4"/>
  <c r="H89" i="4"/>
  <c r="G89" i="4"/>
  <c r="F89" i="4"/>
  <c r="E89" i="4"/>
  <c r="D89" i="4"/>
  <c r="B89" i="4"/>
  <c r="A89" i="4"/>
  <c r="P88" i="4"/>
  <c r="O88" i="4"/>
  <c r="N88" i="4"/>
  <c r="M88" i="4"/>
  <c r="L88" i="4"/>
  <c r="J88" i="4"/>
  <c r="I88" i="4"/>
  <c r="H88" i="4"/>
  <c r="G88" i="4"/>
  <c r="F88" i="4"/>
  <c r="E88" i="4"/>
  <c r="D88" i="4"/>
  <c r="B88" i="4"/>
  <c r="A88" i="4"/>
  <c r="P87" i="4"/>
  <c r="O87" i="4"/>
  <c r="N87" i="4"/>
  <c r="M87" i="4"/>
  <c r="L87" i="4"/>
  <c r="J87" i="4"/>
  <c r="I87" i="4"/>
  <c r="H87" i="4"/>
  <c r="G87" i="4"/>
  <c r="F87" i="4"/>
  <c r="E87" i="4"/>
  <c r="D87" i="4"/>
  <c r="B87" i="4"/>
  <c r="A87" i="4"/>
  <c r="P86" i="4"/>
  <c r="O86" i="4"/>
  <c r="N86" i="4"/>
  <c r="M86" i="4"/>
  <c r="L86" i="4"/>
  <c r="J86" i="4"/>
  <c r="I86" i="4"/>
  <c r="H86" i="4"/>
  <c r="G86" i="4"/>
  <c r="F86" i="4"/>
  <c r="E86" i="4"/>
  <c r="D86" i="4"/>
  <c r="B86" i="4"/>
  <c r="A86" i="4"/>
  <c r="P85" i="4"/>
  <c r="O85" i="4"/>
  <c r="N85" i="4"/>
  <c r="M85" i="4"/>
  <c r="L85" i="4"/>
  <c r="J85" i="4"/>
  <c r="I85" i="4"/>
  <c r="H85" i="4"/>
  <c r="G85" i="4"/>
  <c r="F85" i="4"/>
  <c r="E85" i="4"/>
  <c r="D85" i="4"/>
  <c r="B85" i="4"/>
  <c r="A85" i="4"/>
  <c r="P84" i="4"/>
  <c r="O84" i="4"/>
  <c r="N84" i="4"/>
  <c r="M84" i="4"/>
  <c r="L84" i="4"/>
  <c r="J84" i="4"/>
  <c r="I84" i="4"/>
  <c r="H84" i="4"/>
  <c r="G84" i="4"/>
  <c r="F84" i="4"/>
  <c r="E84" i="4"/>
  <c r="D84" i="4"/>
  <c r="B84" i="4"/>
  <c r="A84" i="4"/>
  <c r="P83" i="4"/>
  <c r="O83" i="4"/>
  <c r="N83" i="4"/>
  <c r="M83" i="4"/>
  <c r="L83" i="4"/>
  <c r="J83" i="4"/>
  <c r="I83" i="4"/>
  <c r="H83" i="4"/>
  <c r="G83" i="4"/>
  <c r="F83" i="4"/>
  <c r="E83" i="4"/>
  <c r="D83" i="4"/>
  <c r="B83" i="4"/>
  <c r="A83" i="4"/>
  <c r="P82" i="4"/>
  <c r="O82" i="4"/>
  <c r="N82" i="4"/>
  <c r="M82" i="4"/>
  <c r="L82" i="4"/>
  <c r="J82" i="4"/>
  <c r="I82" i="4"/>
  <c r="H82" i="4"/>
  <c r="G82" i="4"/>
  <c r="F82" i="4"/>
  <c r="E82" i="4"/>
  <c r="D82" i="4"/>
  <c r="B82" i="4"/>
  <c r="A82" i="4"/>
  <c r="P81" i="4"/>
  <c r="O81" i="4"/>
  <c r="N81" i="4"/>
  <c r="M81" i="4"/>
  <c r="L81" i="4"/>
  <c r="J81" i="4"/>
  <c r="I81" i="4"/>
  <c r="H81" i="4"/>
  <c r="G81" i="4"/>
  <c r="F81" i="4"/>
  <c r="E81" i="4"/>
  <c r="D81" i="4"/>
  <c r="B81" i="4"/>
  <c r="A81" i="4"/>
  <c r="P80" i="4"/>
  <c r="O80" i="4"/>
  <c r="N80" i="4"/>
  <c r="M80" i="4"/>
  <c r="L80" i="4"/>
  <c r="J80" i="4"/>
  <c r="I80" i="4"/>
  <c r="H80" i="4"/>
  <c r="G80" i="4"/>
  <c r="F80" i="4"/>
  <c r="E80" i="4"/>
  <c r="D80" i="4"/>
  <c r="B80" i="4"/>
  <c r="A80" i="4"/>
  <c r="P79" i="4"/>
  <c r="O79" i="4"/>
  <c r="N79" i="4"/>
  <c r="M79" i="4"/>
  <c r="L79" i="4"/>
  <c r="J79" i="4"/>
  <c r="I79" i="4"/>
  <c r="H79" i="4"/>
  <c r="G79" i="4"/>
  <c r="F79" i="4"/>
  <c r="E79" i="4"/>
  <c r="D79" i="4"/>
  <c r="B79" i="4"/>
  <c r="A79" i="4"/>
  <c r="P78" i="4"/>
  <c r="O78" i="4"/>
  <c r="N78" i="4"/>
  <c r="M78" i="4"/>
  <c r="L78" i="4"/>
  <c r="J78" i="4"/>
  <c r="I78" i="4"/>
  <c r="H78" i="4"/>
  <c r="G78" i="4"/>
  <c r="F78" i="4"/>
  <c r="E78" i="4"/>
  <c r="D78" i="4"/>
  <c r="B78" i="4"/>
  <c r="A78" i="4"/>
  <c r="P77" i="4"/>
  <c r="O77" i="4"/>
  <c r="N77" i="4"/>
  <c r="M77" i="4"/>
  <c r="L77" i="4"/>
  <c r="J77" i="4"/>
  <c r="I77" i="4"/>
  <c r="H77" i="4"/>
  <c r="G77" i="4"/>
  <c r="F77" i="4"/>
  <c r="E77" i="4"/>
  <c r="D77" i="4"/>
  <c r="B77" i="4"/>
  <c r="A77" i="4"/>
  <c r="P76" i="4"/>
  <c r="O76" i="4"/>
  <c r="N76" i="4"/>
  <c r="M76" i="4"/>
  <c r="L76" i="4"/>
  <c r="J76" i="4"/>
  <c r="I76" i="4"/>
  <c r="H76" i="4"/>
  <c r="G76" i="4"/>
  <c r="F76" i="4"/>
  <c r="E76" i="4"/>
  <c r="D76" i="4"/>
  <c r="B76" i="4"/>
  <c r="A76" i="4"/>
  <c r="P75" i="4"/>
  <c r="O75" i="4"/>
  <c r="N75" i="4"/>
  <c r="M75" i="4"/>
  <c r="L75" i="4"/>
  <c r="J75" i="4"/>
  <c r="I75" i="4"/>
  <c r="H75" i="4"/>
  <c r="G75" i="4"/>
  <c r="F75" i="4"/>
  <c r="E75" i="4"/>
  <c r="D75" i="4"/>
  <c r="B75" i="4"/>
  <c r="A75" i="4"/>
  <c r="P74" i="4"/>
  <c r="O74" i="4"/>
  <c r="N74" i="4"/>
  <c r="M74" i="4"/>
  <c r="L74" i="4"/>
  <c r="J74" i="4"/>
  <c r="I74" i="4"/>
  <c r="H74" i="4"/>
  <c r="G74" i="4"/>
  <c r="F74" i="4"/>
  <c r="E74" i="4"/>
  <c r="D74" i="4"/>
  <c r="B74" i="4"/>
  <c r="A74" i="4"/>
  <c r="P73" i="4"/>
  <c r="O73" i="4"/>
  <c r="N73" i="4"/>
  <c r="M73" i="4"/>
  <c r="L73" i="4"/>
  <c r="J73" i="4"/>
  <c r="I73" i="4"/>
  <c r="H73" i="4"/>
  <c r="G73" i="4"/>
  <c r="F73" i="4"/>
  <c r="E73" i="4"/>
  <c r="D73" i="4"/>
  <c r="B73" i="4"/>
  <c r="A73" i="4"/>
  <c r="P72" i="4"/>
  <c r="O72" i="4"/>
  <c r="N72" i="4"/>
  <c r="M72" i="4"/>
  <c r="L72" i="4"/>
  <c r="J72" i="4"/>
  <c r="I72" i="4"/>
  <c r="H72" i="4"/>
  <c r="G72" i="4"/>
  <c r="F72" i="4"/>
  <c r="E72" i="4"/>
  <c r="D72" i="4"/>
  <c r="B72" i="4"/>
  <c r="A72" i="4"/>
  <c r="P71" i="4"/>
  <c r="O71" i="4"/>
  <c r="N71" i="4"/>
  <c r="M71" i="4"/>
  <c r="L71" i="4"/>
  <c r="J71" i="4"/>
  <c r="I71" i="4"/>
  <c r="H71" i="4"/>
  <c r="G71" i="4"/>
  <c r="F71" i="4"/>
  <c r="E71" i="4"/>
  <c r="D71" i="4"/>
  <c r="B71" i="4"/>
  <c r="A71" i="4"/>
  <c r="P70" i="4"/>
  <c r="O70" i="4"/>
  <c r="N70" i="4"/>
  <c r="M70" i="4"/>
  <c r="L70" i="4"/>
  <c r="J70" i="4"/>
  <c r="I70" i="4"/>
  <c r="H70" i="4"/>
  <c r="G70" i="4"/>
  <c r="F70" i="4"/>
  <c r="E70" i="4"/>
  <c r="D70" i="4"/>
  <c r="B70" i="4"/>
  <c r="A70" i="4"/>
  <c r="P69" i="4"/>
  <c r="O69" i="4"/>
  <c r="N69" i="4"/>
  <c r="M69" i="4"/>
  <c r="L69" i="4"/>
  <c r="J69" i="4"/>
  <c r="I69" i="4"/>
  <c r="H69" i="4"/>
  <c r="G69" i="4"/>
  <c r="F69" i="4"/>
  <c r="E69" i="4"/>
  <c r="D69" i="4"/>
  <c r="B69" i="4"/>
  <c r="A69" i="4"/>
  <c r="P68" i="4"/>
  <c r="O68" i="4"/>
  <c r="N68" i="4"/>
  <c r="M68" i="4"/>
  <c r="L68" i="4"/>
  <c r="J68" i="4"/>
  <c r="I68" i="4"/>
  <c r="H68" i="4"/>
  <c r="G68" i="4"/>
  <c r="F68" i="4"/>
  <c r="E68" i="4"/>
  <c r="D68" i="4"/>
  <c r="B68" i="4"/>
  <c r="A68" i="4"/>
  <c r="P67" i="4"/>
  <c r="O67" i="4"/>
  <c r="N67" i="4"/>
  <c r="M67" i="4"/>
  <c r="L67" i="4"/>
  <c r="J67" i="4"/>
  <c r="I67" i="4"/>
  <c r="H67" i="4"/>
  <c r="G67" i="4"/>
  <c r="F67" i="4"/>
  <c r="E67" i="4"/>
  <c r="D67" i="4"/>
  <c r="B67" i="4"/>
  <c r="A67" i="4"/>
  <c r="P66" i="4"/>
  <c r="O66" i="4"/>
  <c r="N66" i="4"/>
  <c r="M66" i="4"/>
  <c r="L66" i="4"/>
  <c r="J66" i="4"/>
  <c r="I66" i="4"/>
  <c r="H66" i="4"/>
  <c r="G66" i="4"/>
  <c r="F66" i="4"/>
  <c r="E66" i="4"/>
  <c r="D66" i="4"/>
  <c r="B66" i="4"/>
  <c r="A66" i="4"/>
  <c r="P65" i="4"/>
  <c r="O65" i="4"/>
  <c r="N65" i="4"/>
  <c r="M65" i="4"/>
  <c r="L65" i="4"/>
  <c r="J65" i="4"/>
  <c r="I65" i="4"/>
  <c r="H65" i="4"/>
  <c r="G65" i="4"/>
  <c r="F65" i="4"/>
  <c r="E65" i="4"/>
  <c r="D65" i="4"/>
  <c r="B65" i="4"/>
  <c r="A65" i="4"/>
  <c r="P64" i="4"/>
  <c r="O64" i="4"/>
  <c r="N64" i="4"/>
  <c r="M64" i="4"/>
  <c r="L64" i="4"/>
  <c r="J64" i="4"/>
  <c r="I64" i="4"/>
  <c r="H64" i="4"/>
  <c r="G64" i="4"/>
  <c r="F64" i="4"/>
  <c r="E64" i="4"/>
  <c r="D64" i="4"/>
  <c r="B64" i="4"/>
  <c r="A64" i="4"/>
  <c r="P63" i="4"/>
  <c r="O63" i="4"/>
  <c r="N63" i="4"/>
  <c r="M63" i="4"/>
  <c r="L63" i="4"/>
  <c r="J63" i="4"/>
  <c r="I63" i="4"/>
  <c r="H63" i="4"/>
  <c r="G63" i="4"/>
  <c r="F63" i="4"/>
  <c r="E63" i="4"/>
  <c r="D63" i="4"/>
  <c r="B63" i="4"/>
  <c r="A63" i="4"/>
  <c r="P62" i="4"/>
  <c r="O62" i="4"/>
  <c r="N62" i="4"/>
  <c r="M62" i="4"/>
  <c r="L62" i="4"/>
  <c r="J62" i="4"/>
  <c r="I62" i="4"/>
  <c r="H62" i="4"/>
  <c r="G62" i="4"/>
  <c r="F62" i="4"/>
  <c r="E62" i="4"/>
  <c r="D62" i="4"/>
  <c r="B62" i="4"/>
  <c r="A62" i="4"/>
  <c r="P61" i="4"/>
  <c r="O61" i="4"/>
  <c r="N61" i="4"/>
  <c r="M61" i="4"/>
  <c r="L61" i="4"/>
  <c r="J61" i="4"/>
  <c r="I61" i="4"/>
  <c r="H61" i="4"/>
  <c r="G61" i="4"/>
  <c r="F61" i="4"/>
  <c r="E61" i="4"/>
  <c r="D61" i="4"/>
  <c r="B61" i="4"/>
  <c r="A61" i="4"/>
  <c r="P60" i="4"/>
  <c r="O60" i="4"/>
  <c r="N60" i="4"/>
  <c r="M60" i="4"/>
  <c r="L60" i="4"/>
  <c r="J60" i="4"/>
  <c r="I60" i="4"/>
  <c r="H60" i="4"/>
  <c r="G60" i="4"/>
  <c r="F60" i="4"/>
  <c r="E60" i="4"/>
  <c r="D60" i="4"/>
  <c r="B60" i="4"/>
  <c r="A60" i="4"/>
  <c r="P59" i="4"/>
  <c r="O59" i="4"/>
  <c r="N59" i="4"/>
  <c r="M59" i="4"/>
  <c r="L59" i="4"/>
  <c r="J59" i="4"/>
  <c r="I59" i="4"/>
  <c r="H59" i="4"/>
  <c r="G59" i="4"/>
  <c r="F59" i="4"/>
  <c r="E59" i="4"/>
  <c r="D59" i="4"/>
  <c r="B59" i="4"/>
  <c r="A59" i="4"/>
  <c r="P58" i="4"/>
  <c r="O58" i="4"/>
  <c r="N58" i="4"/>
  <c r="M58" i="4"/>
  <c r="L58" i="4"/>
  <c r="J58" i="4"/>
  <c r="I58" i="4"/>
  <c r="H58" i="4"/>
  <c r="G58" i="4"/>
  <c r="F58" i="4"/>
  <c r="E58" i="4"/>
  <c r="D58" i="4"/>
  <c r="B58" i="4"/>
  <c r="A58" i="4"/>
  <c r="P57" i="4"/>
  <c r="O57" i="4"/>
  <c r="N57" i="4"/>
  <c r="M57" i="4"/>
  <c r="L57" i="4"/>
  <c r="J57" i="4"/>
  <c r="I57" i="4"/>
  <c r="H57" i="4"/>
  <c r="G57" i="4"/>
  <c r="F57" i="4"/>
  <c r="E57" i="4"/>
  <c r="D57" i="4"/>
  <c r="B57" i="4"/>
  <c r="A57" i="4"/>
  <c r="P56" i="4"/>
  <c r="O56" i="4"/>
  <c r="N56" i="4"/>
  <c r="M56" i="4"/>
  <c r="L56" i="4"/>
  <c r="J56" i="4"/>
  <c r="I56" i="4"/>
  <c r="H56" i="4"/>
  <c r="G56" i="4"/>
  <c r="F56" i="4"/>
  <c r="E56" i="4"/>
  <c r="D56" i="4"/>
  <c r="B56" i="4"/>
  <c r="A56" i="4"/>
  <c r="P55" i="4"/>
  <c r="O55" i="4"/>
  <c r="N55" i="4"/>
  <c r="M55" i="4"/>
  <c r="L55" i="4"/>
  <c r="J55" i="4"/>
  <c r="I55" i="4"/>
  <c r="H55" i="4"/>
  <c r="G55" i="4"/>
  <c r="F55" i="4"/>
  <c r="E55" i="4"/>
  <c r="D55" i="4"/>
  <c r="B55" i="4"/>
  <c r="A55" i="4"/>
  <c r="P54" i="4"/>
  <c r="O54" i="4"/>
  <c r="N54" i="4"/>
  <c r="M54" i="4"/>
  <c r="L54" i="4"/>
  <c r="J54" i="4"/>
  <c r="I54" i="4"/>
  <c r="H54" i="4"/>
  <c r="G54" i="4"/>
  <c r="F54" i="4"/>
  <c r="E54" i="4"/>
  <c r="D54" i="4"/>
  <c r="B54" i="4"/>
  <c r="A54" i="4"/>
  <c r="P53" i="4"/>
  <c r="O53" i="4"/>
  <c r="N53" i="4"/>
  <c r="M53" i="4"/>
  <c r="L53" i="4"/>
  <c r="J53" i="4"/>
  <c r="I53" i="4"/>
  <c r="H53" i="4"/>
  <c r="G53" i="4"/>
  <c r="F53" i="4"/>
  <c r="E53" i="4"/>
  <c r="D53" i="4"/>
  <c r="B53" i="4"/>
  <c r="A53" i="4"/>
  <c r="P52" i="4"/>
  <c r="O52" i="4"/>
  <c r="N52" i="4"/>
  <c r="M52" i="4"/>
  <c r="L52" i="4"/>
  <c r="J52" i="4"/>
  <c r="I52" i="4"/>
  <c r="H52" i="4"/>
  <c r="G52" i="4"/>
  <c r="F52" i="4"/>
  <c r="E52" i="4"/>
  <c r="D52" i="4"/>
  <c r="B52" i="4"/>
  <c r="A52" i="4"/>
  <c r="P51" i="4"/>
  <c r="O51" i="4"/>
  <c r="N51" i="4"/>
  <c r="M51" i="4"/>
  <c r="L51" i="4"/>
  <c r="J51" i="4"/>
  <c r="I51" i="4"/>
  <c r="H51" i="4"/>
  <c r="G51" i="4"/>
  <c r="F51" i="4"/>
  <c r="E51" i="4"/>
  <c r="D51" i="4"/>
  <c r="B51" i="4"/>
  <c r="A51" i="4"/>
  <c r="P50" i="4"/>
  <c r="O50" i="4"/>
  <c r="N50" i="4"/>
  <c r="M50" i="4"/>
  <c r="L50" i="4"/>
  <c r="J50" i="4"/>
  <c r="I50" i="4"/>
  <c r="H50" i="4"/>
  <c r="G50" i="4"/>
  <c r="F50" i="4"/>
  <c r="E50" i="4"/>
  <c r="D50" i="4"/>
  <c r="B50" i="4"/>
  <c r="A50" i="4"/>
  <c r="P49" i="4"/>
  <c r="O49" i="4"/>
  <c r="N49" i="4"/>
  <c r="M49" i="4"/>
  <c r="L49" i="4"/>
  <c r="J49" i="4"/>
  <c r="I49" i="4"/>
  <c r="H49" i="4"/>
  <c r="G49" i="4"/>
  <c r="F49" i="4"/>
  <c r="E49" i="4"/>
  <c r="D49" i="4"/>
  <c r="B49" i="4"/>
  <c r="A49" i="4"/>
  <c r="P48" i="4"/>
  <c r="O48" i="4"/>
  <c r="N48" i="4"/>
  <c r="M48" i="4"/>
  <c r="L48" i="4"/>
  <c r="J48" i="4"/>
  <c r="I48" i="4"/>
  <c r="H48" i="4"/>
  <c r="G48" i="4"/>
  <c r="F48" i="4"/>
  <c r="E48" i="4"/>
  <c r="D48" i="4"/>
  <c r="B48" i="4"/>
  <c r="A48" i="4"/>
  <c r="P47" i="4"/>
  <c r="O47" i="4"/>
  <c r="N47" i="4"/>
  <c r="M47" i="4"/>
  <c r="L47" i="4"/>
  <c r="J47" i="4"/>
  <c r="I47" i="4"/>
  <c r="H47" i="4"/>
  <c r="G47" i="4"/>
  <c r="F47" i="4"/>
  <c r="E47" i="4"/>
  <c r="D47" i="4"/>
  <c r="B47" i="4"/>
  <c r="A47" i="4"/>
  <c r="P46" i="4"/>
  <c r="O46" i="4"/>
  <c r="N46" i="4"/>
  <c r="M46" i="4"/>
  <c r="L46" i="4"/>
  <c r="J46" i="4"/>
  <c r="I46" i="4"/>
  <c r="H46" i="4"/>
  <c r="G46" i="4"/>
  <c r="F46" i="4"/>
  <c r="E46" i="4"/>
  <c r="D46" i="4"/>
  <c r="B46" i="4"/>
  <c r="A46" i="4"/>
  <c r="P45" i="4"/>
  <c r="O45" i="4"/>
  <c r="N45" i="4"/>
  <c r="M45" i="4"/>
  <c r="L45" i="4"/>
  <c r="J45" i="4"/>
  <c r="I45" i="4"/>
  <c r="H45" i="4"/>
  <c r="G45" i="4"/>
  <c r="F45" i="4"/>
  <c r="E45" i="4"/>
  <c r="D45" i="4"/>
  <c r="B45" i="4"/>
  <c r="A45" i="4"/>
  <c r="P44" i="4"/>
  <c r="O44" i="4"/>
  <c r="N44" i="4"/>
  <c r="M44" i="4"/>
  <c r="L44" i="4"/>
  <c r="J44" i="4"/>
  <c r="I44" i="4"/>
  <c r="H44" i="4"/>
  <c r="G44" i="4"/>
  <c r="F44" i="4"/>
  <c r="E44" i="4"/>
  <c r="D44" i="4"/>
  <c r="B44" i="4"/>
  <c r="A44" i="4"/>
  <c r="P43" i="4"/>
  <c r="O43" i="4"/>
  <c r="N43" i="4"/>
  <c r="M43" i="4"/>
  <c r="L43" i="4"/>
  <c r="J43" i="4"/>
  <c r="I43" i="4"/>
  <c r="H43" i="4"/>
  <c r="G43" i="4"/>
  <c r="F43" i="4"/>
  <c r="E43" i="4"/>
  <c r="D43" i="4"/>
  <c r="B43" i="4"/>
  <c r="A43" i="4"/>
  <c r="P42" i="4"/>
  <c r="O42" i="4"/>
  <c r="N42" i="4"/>
  <c r="M42" i="4"/>
  <c r="L42" i="4"/>
  <c r="J42" i="4"/>
  <c r="I42" i="4"/>
  <c r="H42" i="4"/>
  <c r="G42" i="4"/>
  <c r="F42" i="4"/>
  <c r="E42" i="4"/>
  <c r="D42" i="4"/>
  <c r="B42" i="4"/>
  <c r="A42" i="4"/>
  <c r="P41" i="4"/>
  <c r="O41" i="4"/>
  <c r="N41" i="4"/>
  <c r="M41" i="4"/>
  <c r="L41" i="4"/>
  <c r="J41" i="4"/>
  <c r="I41" i="4"/>
  <c r="H41" i="4"/>
  <c r="G41" i="4"/>
  <c r="F41" i="4"/>
  <c r="E41" i="4"/>
  <c r="D41" i="4"/>
  <c r="B41" i="4"/>
  <c r="A41" i="4"/>
  <c r="P40" i="4"/>
  <c r="O40" i="4"/>
  <c r="N40" i="4"/>
  <c r="M40" i="4"/>
  <c r="L40" i="4"/>
  <c r="J40" i="4"/>
  <c r="I40" i="4"/>
  <c r="H40" i="4"/>
  <c r="G40" i="4"/>
  <c r="F40" i="4"/>
  <c r="E40" i="4"/>
  <c r="D40" i="4"/>
  <c r="B40" i="4"/>
  <c r="A40" i="4"/>
  <c r="P39" i="4"/>
  <c r="O39" i="4"/>
  <c r="N39" i="4"/>
  <c r="M39" i="4"/>
  <c r="L39" i="4"/>
  <c r="J39" i="4"/>
  <c r="I39" i="4"/>
  <c r="H39" i="4"/>
  <c r="G39" i="4"/>
  <c r="F39" i="4"/>
  <c r="E39" i="4"/>
  <c r="D39" i="4"/>
  <c r="B39" i="4"/>
  <c r="A39" i="4"/>
  <c r="P38" i="4"/>
  <c r="O38" i="4"/>
  <c r="N38" i="4"/>
  <c r="M38" i="4"/>
  <c r="L38" i="4"/>
  <c r="J38" i="4"/>
  <c r="I38" i="4"/>
  <c r="H38" i="4"/>
  <c r="G38" i="4"/>
  <c r="F38" i="4"/>
  <c r="E38" i="4"/>
  <c r="D38" i="4"/>
  <c r="B38" i="4"/>
  <c r="A38" i="4"/>
  <c r="P37" i="4"/>
  <c r="O37" i="4"/>
  <c r="N37" i="4"/>
  <c r="M37" i="4"/>
  <c r="L37" i="4"/>
  <c r="J37" i="4"/>
  <c r="I37" i="4"/>
  <c r="H37" i="4"/>
  <c r="G37" i="4"/>
  <c r="F37" i="4"/>
  <c r="E37" i="4"/>
  <c r="D37" i="4"/>
  <c r="B37" i="4"/>
  <c r="A37" i="4"/>
  <c r="P36" i="4"/>
  <c r="O36" i="4"/>
  <c r="N36" i="4"/>
  <c r="M36" i="4"/>
  <c r="L36" i="4"/>
  <c r="J36" i="4"/>
  <c r="I36" i="4"/>
  <c r="H36" i="4"/>
  <c r="G36" i="4"/>
  <c r="F36" i="4"/>
  <c r="E36" i="4"/>
  <c r="D36" i="4"/>
  <c r="B36" i="4"/>
  <c r="A36" i="4"/>
  <c r="P35" i="4"/>
  <c r="O35" i="4"/>
  <c r="N35" i="4"/>
  <c r="M35" i="4"/>
  <c r="L35" i="4"/>
  <c r="J35" i="4"/>
  <c r="I35" i="4"/>
  <c r="H35" i="4"/>
  <c r="G35" i="4"/>
  <c r="F35" i="4"/>
  <c r="E35" i="4"/>
  <c r="D35" i="4"/>
  <c r="B35" i="4"/>
  <c r="A35" i="4"/>
  <c r="P34" i="4"/>
  <c r="O34" i="4"/>
  <c r="N34" i="4"/>
  <c r="M34" i="4"/>
  <c r="L34" i="4"/>
  <c r="J34" i="4"/>
  <c r="I34" i="4"/>
  <c r="H34" i="4"/>
  <c r="G34" i="4"/>
  <c r="F34" i="4"/>
  <c r="E34" i="4"/>
  <c r="D34" i="4"/>
  <c r="B34" i="4"/>
  <c r="A34" i="4"/>
  <c r="P33" i="4"/>
  <c r="O33" i="4"/>
  <c r="N33" i="4"/>
  <c r="M33" i="4"/>
  <c r="L33" i="4"/>
  <c r="J33" i="4"/>
  <c r="I33" i="4"/>
  <c r="H33" i="4"/>
  <c r="G33" i="4"/>
  <c r="F33" i="4"/>
  <c r="E33" i="4"/>
  <c r="D33" i="4"/>
  <c r="B33" i="4"/>
  <c r="A33" i="4"/>
  <c r="P32" i="4"/>
  <c r="O32" i="4"/>
  <c r="N32" i="4"/>
  <c r="M32" i="4"/>
  <c r="L32" i="4"/>
  <c r="J32" i="4"/>
  <c r="I32" i="4"/>
  <c r="H32" i="4"/>
  <c r="G32" i="4"/>
  <c r="F32" i="4"/>
  <c r="E32" i="4"/>
  <c r="D32" i="4"/>
  <c r="B32" i="4"/>
  <c r="A32" i="4"/>
  <c r="P31" i="4"/>
  <c r="O31" i="4"/>
  <c r="N31" i="4"/>
  <c r="M31" i="4"/>
  <c r="L31" i="4"/>
  <c r="J31" i="4"/>
  <c r="I31" i="4"/>
  <c r="H31" i="4"/>
  <c r="G31" i="4"/>
  <c r="F31" i="4"/>
  <c r="E31" i="4"/>
  <c r="D31" i="4"/>
  <c r="B31" i="4"/>
  <c r="A31" i="4"/>
  <c r="P30" i="4"/>
  <c r="O30" i="4"/>
  <c r="N30" i="4"/>
  <c r="M30" i="4"/>
  <c r="L30" i="4"/>
  <c r="J30" i="4"/>
  <c r="I30" i="4"/>
  <c r="H30" i="4"/>
  <c r="G30" i="4"/>
  <c r="F30" i="4"/>
  <c r="E30" i="4"/>
  <c r="D30" i="4"/>
  <c r="B30" i="4"/>
  <c r="A30" i="4"/>
  <c r="P29" i="4"/>
  <c r="O29" i="4"/>
  <c r="N29" i="4"/>
  <c r="M29" i="4"/>
  <c r="L29" i="4"/>
  <c r="J29" i="4"/>
  <c r="I29" i="4"/>
  <c r="H29" i="4"/>
  <c r="G29" i="4"/>
  <c r="F29" i="4"/>
  <c r="E29" i="4"/>
  <c r="D29" i="4"/>
  <c r="B29" i="4"/>
  <c r="A29" i="4"/>
  <c r="P28" i="4"/>
  <c r="O28" i="4"/>
  <c r="N28" i="4"/>
  <c r="M28" i="4"/>
  <c r="L28" i="4"/>
  <c r="J28" i="4"/>
  <c r="I28" i="4"/>
  <c r="H28" i="4"/>
  <c r="G28" i="4"/>
  <c r="F28" i="4"/>
  <c r="E28" i="4"/>
  <c r="D28" i="4"/>
  <c r="B28" i="4"/>
  <c r="A28" i="4"/>
  <c r="P27" i="4"/>
  <c r="O27" i="4"/>
  <c r="N27" i="4"/>
  <c r="M27" i="4"/>
  <c r="L27" i="4"/>
  <c r="J27" i="4"/>
  <c r="I27" i="4"/>
  <c r="H27" i="4"/>
  <c r="G27" i="4"/>
  <c r="F27" i="4"/>
  <c r="E27" i="4"/>
  <c r="D27" i="4"/>
  <c r="B27" i="4"/>
  <c r="A27" i="4"/>
  <c r="P26" i="4"/>
  <c r="O26" i="4"/>
  <c r="N26" i="4"/>
  <c r="M26" i="4"/>
  <c r="L26" i="4"/>
  <c r="J26" i="4"/>
  <c r="I26" i="4"/>
  <c r="H26" i="4"/>
  <c r="G26" i="4"/>
  <c r="F26" i="4"/>
  <c r="E26" i="4"/>
  <c r="D26" i="4"/>
  <c r="B26" i="4"/>
  <c r="A26" i="4"/>
  <c r="P25" i="4"/>
  <c r="O25" i="4"/>
  <c r="N25" i="4"/>
  <c r="M25" i="4"/>
  <c r="L25" i="4"/>
  <c r="J25" i="4"/>
  <c r="I25" i="4"/>
  <c r="H25" i="4"/>
  <c r="G25" i="4"/>
  <c r="F25" i="4"/>
  <c r="E25" i="4"/>
  <c r="D25" i="4"/>
  <c r="B25" i="4"/>
  <c r="A25" i="4"/>
  <c r="P24" i="4"/>
  <c r="O24" i="4"/>
  <c r="N24" i="4"/>
  <c r="M24" i="4"/>
  <c r="L24" i="4"/>
  <c r="J24" i="4"/>
  <c r="I24" i="4"/>
  <c r="H24" i="4"/>
  <c r="G24" i="4"/>
  <c r="F24" i="4"/>
  <c r="E24" i="4"/>
  <c r="D24" i="4"/>
  <c r="B24" i="4"/>
  <c r="A24" i="4"/>
  <c r="P23" i="4"/>
  <c r="O23" i="4"/>
  <c r="N23" i="4"/>
  <c r="M23" i="4"/>
  <c r="L23" i="4"/>
  <c r="J23" i="4"/>
  <c r="I23" i="4"/>
  <c r="H23" i="4"/>
  <c r="G23" i="4"/>
  <c r="F23" i="4"/>
  <c r="E23" i="4"/>
  <c r="D23" i="4"/>
  <c r="B23" i="4"/>
  <c r="A23" i="4"/>
  <c r="P22" i="4"/>
  <c r="O22" i="4"/>
  <c r="N22" i="4"/>
  <c r="M22" i="4"/>
  <c r="L22" i="4"/>
  <c r="J22" i="4"/>
  <c r="I22" i="4"/>
  <c r="H22" i="4"/>
  <c r="G22" i="4"/>
  <c r="F22" i="4"/>
  <c r="E22" i="4"/>
  <c r="D22" i="4"/>
  <c r="B22" i="4"/>
  <c r="A22" i="4"/>
  <c r="P21" i="4"/>
  <c r="O21" i="4"/>
  <c r="N21" i="4"/>
  <c r="M21" i="4"/>
  <c r="L21" i="4"/>
  <c r="J21" i="4"/>
  <c r="I21" i="4"/>
  <c r="H21" i="4"/>
  <c r="G21" i="4"/>
  <c r="F21" i="4"/>
  <c r="E21" i="4"/>
  <c r="D21" i="4"/>
  <c r="B21" i="4"/>
  <c r="A21" i="4"/>
  <c r="P20" i="4"/>
  <c r="O20" i="4"/>
  <c r="N20" i="4"/>
  <c r="M20" i="4"/>
  <c r="L20" i="4"/>
  <c r="J20" i="4"/>
  <c r="I20" i="4"/>
  <c r="H20" i="4"/>
  <c r="G20" i="4"/>
  <c r="F20" i="4"/>
  <c r="E20" i="4"/>
  <c r="D20" i="4"/>
  <c r="B20" i="4"/>
  <c r="A20" i="4"/>
  <c r="P19" i="4"/>
  <c r="O19" i="4"/>
  <c r="N19" i="4"/>
  <c r="M19" i="4"/>
  <c r="L19" i="4"/>
  <c r="J19" i="4"/>
  <c r="I19" i="4"/>
  <c r="H19" i="4"/>
  <c r="G19" i="4"/>
  <c r="F19" i="4"/>
  <c r="E19" i="4"/>
  <c r="D19" i="4"/>
  <c r="B19" i="4"/>
  <c r="A19" i="4"/>
  <c r="P18" i="4"/>
  <c r="O18" i="4"/>
  <c r="N18" i="4"/>
  <c r="M18" i="4"/>
  <c r="L18" i="4"/>
  <c r="J18" i="4"/>
  <c r="I18" i="4"/>
  <c r="H18" i="4"/>
  <c r="G18" i="4"/>
  <c r="F18" i="4"/>
  <c r="E18" i="4"/>
  <c r="D18" i="4"/>
  <c r="B18" i="4"/>
  <c r="A18" i="4"/>
  <c r="P17" i="4"/>
  <c r="O17" i="4"/>
  <c r="N17" i="4"/>
  <c r="M17" i="4"/>
  <c r="L17" i="4"/>
  <c r="J17" i="4"/>
  <c r="I17" i="4"/>
  <c r="H17" i="4"/>
  <c r="G17" i="4"/>
  <c r="F17" i="4"/>
  <c r="E17" i="4"/>
  <c r="D17" i="4"/>
  <c r="B17" i="4"/>
  <c r="A17" i="4"/>
  <c r="P16" i="4"/>
  <c r="O16" i="4"/>
  <c r="N16" i="4"/>
  <c r="M16" i="4"/>
  <c r="L16" i="4"/>
  <c r="J16" i="4"/>
  <c r="I16" i="4"/>
  <c r="H16" i="4"/>
  <c r="G16" i="4"/>
  <c r="F16" i="4"/>
  <c r="E16" i="4"/>
  <c r="D16" i="4"/>
  <c r="B16" i="4"/>
  <c r="A16" i="4"/>
  <c r="P15" i="4"/>
  <c r="O15" i="4"/>
  <c r="N15" i="4"/>
  <c r="M15" i="4"/>
  <c r="L15" i="4"/>
  <c r="J15" i="4"/>
  <c r="I15" i="4"/>
  <c r="H15" i="4"/>
  <c r="G15" i="4"/>
  <c r="F15" i="4"/>
  <c r="E15" i="4"/>
  <c r="D15" i="4"/>
  <c r="B15" i="4"/>
  <c r="A15" i="4"/>
  <c r="P14" i="4"/>
  <c r="O14" i="4"/>
  <c r="N14" i="4"/>
  <c r="M14" i="4"/>
  <c r="L14" i="4"/>
  <c r="J14" i="4"/>
  <c r="I14" i="4"/>
  <c r="H14" i="4"/>
  <c r="G14" i="4"/>
  <c r="F14" i="4"/>
  <c r="E14" i="4"/>
  <c r="D14" i="4"/>
  <c r="B14" i="4"/>
  <c r="A14" i="4"/>
  <c r="P13" i="4"/>
  <c r="O13" i="4"/>
  <c r="N13" i="4"/>
  <c r="M13" i="4"/>
  <c r="L13" i="4"/>
  <c r="J13" i="4"/>
  <c r="I13" i="4"/>
  <c r="H13" i="4"/>
  <c r="G13" i="4"/>
  <c r="F13" i="4"/>
  <c r="E13" i="4"/>
  <c r="D13" i="4"/>
  <c r="B13" i="4"/>
  <c r="A13" i="4"/>
  <c r="P12" i="4"/>
  <c r="O12" i="4"/>
  <c r="N12" i="4"/>
  <c r="M12" i="4"/>
  <c r="L12" i="4"/>
  <c r="J12" i="4"/>
  <c r="I12" i="4"/>
  <c r="H12" i="4"/>
  <c r="G12" i="4"/>
  <c r="F12" i="4"/>
  <c r="E12" i="4"/>
  <c r="D12" i="4"/>
  <c r="B12" i="4"/>
  <c r="A12" i="4"/>
  <c r="P11" i="4"/>
  <c r="O11" i="4"/>
  <c r="N11" i="4"/>
  <c r="M11" i="4"/>
  <c r="L11" i="4"/>
  <c r="J11" i="4"/>
  <c r="I11" i="4"/>
  <c r="H11" i="4"/>
  <c r="G11" i="4"/>
  <c r="F11" i="4"/>
  <c r="E11" i="4"/>
  <c r="D11" i="4"/>
  <c r="B11" i="4"/>
  <c r="A11" i="4"/>
  <c r="P10" i="4"/>
  <c r="O10" i="4"/>
  <c r="N10" i="4"/>
  <c r="M10" i="4"/>
  <c r="L10" i="4"/>
  <c r="J10" i="4"/>
  <c r="I10" i="4"/>
  <c r="H10" i="4"/>
  <c r="G10" i="4"/>
  <c r="F10" i="4"/>
  <c r="E10" i="4"/>
  <c r="D10" i="4"/>
  <c r="B10" i="4"/>
  <c r="A10" i="4"/>
  <c r="P9" i="4"/>
  <c r="O9" i="4"/>
  <c r="N9" i="4"/>
  <c r="M9" i="4"/>
  <c r="L9" i="4"/>
  <c r="J9" i="4"/>
  <c r="I9" i="4"/>
  <c r="H9" i="4"/>
  <c r="G9" i="4"/>
  <c r="F9" i="4"/>
  <c r="E9" i="4"/>
  <c r="D9" i="4"/>
  <c r="B9" i="4"/>
  <c r="A9" i="4"/>
  <c r="P8" i="4"/>
  <c r="O8" i="4"/>
  <c r="N8" i="4"/>
  <c r="M8" i="4"/>
  <c r="L8" i="4"/>
  <c r="J8" i="4"/>
  <c r="I8" i="4"/>
  <c r="H8" i="4"/>
  <c r="G8" i="4"/>
  <c r="F8" i="4"/>
  <c r="E8" i="4"/>
  <c r="D8" i="4"/>
  <c r="B8" i="4"/>
  <c r="A8" i="4"/>
  <c r="P7" i="4"/>
  <c r="O7" i="4"/>
  <c r="N7" i="4"/>
  <c r="M7" i="4"/>
  <c r="L7" i="4"/>
  <c r="J7" i="4"/>
  <c r="I7" i="4"/>
  <c r="H7" i="4"/>
  <c r="G7" i="4"/>
  <c r="F7" i="4"/>
  <c r="E7" i="4"/>
  <c r="D7" i="4"/>
  <c r="B7" i="4"/>
  <c r="A7" i="4"/>
  <c r="P6" i="4"/>
  <c r="O6" i="4"/>
  <c r="N6" i="4"/>
  <c r="M6" i="4"/>
  <c r="L6" i="4"/>
  <c r="J6" i="4"/>
  <c r="I6" i="4"/>
  <c r="H6" i="4"/>
  <c r="G6" i="4"/>
  <c r="F6" i="4"/>
  <c r="E6" i="4"/>
  <c r="D6" i="4"/>
  <c r="B6" i="4"/>
  <c r="A6" i="4"/>
  <c r="F3" i="4"/>
  <c r="A1" i="4"/>
</calcChain>
</file>

<file path=xl/sharedStrings.xml><?xml version="1.0" encoding="utf-8"?>
<sst xmlns="http://schemas.openxmlformats.org/spreadsheetml/2006/main" count="50226" uniqueCount="22980">
  <si>
    <t>⚙️ ตัวกรอง:</t>
  </si>
  <si>
    <t>ประเภทข้อสอบ (Col O)</t>
  </si>
  <si>
    <t>ปี / เลขชุด (Col P)</t>
  </si>
  <si>
    <t>หมวดหลัก (Clinic/Product/SAP)</t>
  </si>
  <si>
    <t>ค้นหาคีย์เวิร์ดในโจทย์ / ยา</t>
  </si>
  <si>
    <t>จำนวนข้อที่พบ</t>
  </si>
  <si>
    <t>เลือกค่า 👉</t>
  </si>
  <si>
    <t>ทั้งหมด</t>
  </si>
  <si>
    <t>ชุด 1</t>
  </si>
  <si>
    <t>Product</t>
  </si>
  <si>
    <t>ข้อที่</t>
  </si>
  <si>
    <t>คำถาม</t>
  </si>
  <si>
    <t>รูปถาม</t>
  </si>
  <si>
    <t>ตัวเลือก 1</t>
  </si>
  <si>
    <t>ตัวเลือก 2</t>
  </si>
  <si>
    <t>ตัวเลือก 3</t>
  </si>
  <si>
    <t>ตัวเลือก 4</t>
  </si>
  <si>
    <t>ตัวเลือก 5</t>
  </si>
  <si>
    <t>เฉลย</t>
  </si>
  <si>
    <t>คำอธิบายเฉลย</t>
  </si>
  <si>
    <t>รูปเฉลย</t>
  </si>
  <si>
    <t>หมวด/Subtopic</t>
  </si>
  <si>
    <t>Product/Clinic/SAP</t>
  </si>
  <si>
    <t>หมายเหตุ</t>
  </si>
  <si>
    <t>ประเภทข้อสอบ</t>
  </si>
  <si>
    <t>ปี / เลขชุด</t>
  </si>
  <si>
    <t>ต้นทาง (Tab)</t>
  </si>
  <si>
    <t>🩺 1. CLINICAL PHARMACY (PLE-CC) — 16 กลุ่มโรค</t>
  </si>
  <si>
    <t>Heart Failure (HFrEF)</t>
  </si>
  <si>
    <t>Clinic</t>
  </si>
  <si>
    <t>Heart Failure Guidelines</t>
  </si>
  <si>
    <t>ลำดับ</t>
  </si>
  <si>
    <t>ชื่อกลุ่มโรค (Disease Group)</t>
  </si>
  <si>
    <t>สายวิชา</t>
  </si>
  <si>
    <t>ลิงก์เปิดหน้าชีท</t>
  </si>
  <si>
    <t>คำอธิบายหมวดวิชา</t>
  </si>
  <si>
    <t>1. Musculoskeleton</t>
  </si>
  <si>
    <t>➡️ เปิดหน้าข้อสอบ</t>
  </si>
  <si>
    <t>ข้อสอบปรนัยคลินิก 5 ตัวเลือก</t>
  </si>
  <si>
    <t>2. Cardiovascular</t>
  </si>
  <si>
    <t>3. Dermatologic</t>
  </si>
  <si>
    <t>4. Endocrine</t>
  </si>
  <si>
    <t>5. Gastrointestinal</t>
  </si>
  <si>
    <t>6. Hematologic</t>
  </si>
  <si>
    <t>7. Immunologic</t>
  </si>
  <si>
    <t>8. Infectious diseases</t>
  </si>
  <si>
    <t>9. Neurologic</t>
  </si>
  <si>
    <t>10. Psychiatric</t>
  </si>
  <si>
    <t>11. Pulmonary</t>
  </si>
  <si>
    <t>12. Gynaecologic/Genitourinary</t>
  </si>
  <si>
    <t>13. Eye disorder</t>
  </si>
  <si>
    <t>14. Oncologic</t>
  </si>
  <si>
    <t>15. Renal</t>
  </si>
  <si>
    <t>16. Toxicology &amp; Poisoning</t>
  </si>
  <si>
    <t>🧪 2. PHARMACEUTICAL SCIENCES (PLE-PRODUCT) — 12 กลุ่มวิชา</t>
  </si>
  <si>
    <t>ชื่อกลุ่มวิชา (Product Group)</t>
  </si>
  <si>
    <t>1. Titrations</t>
  </si>
  <si>
    <t>ข้อสอบปรนัยวิทยาการเภสัชกรรม</t>
  </si>
  <si>
    <t>2. Chromatography</t>
  </si>
  <si>
    <t>3. Spectroscopy &amp; Optics</t>
  </si>
  <si>
    <t>4. Preformulation &amp; GMP</t>
  </si>
  <si>
    <t>5. Pharmaceutical Calc</t>
  </si>
  <si>
    <t>6. Solid Dosage Forms</t>
  </si>
  <si>
    <t>7. Liquid &amp; Semisolids</t>
  </si>
  <si>
    <t>8. Biopharm &amp; Drug Release</t>
  </si>
  <si>
    <t>9. Sterile &amp; Special Forms</t>
  </si>
  <si>
    <t>10. Biotech Products</t>
  </si>
  <si>
    <t>11. Herbal Products</t>
  </si>
  <si>
    <t>12. Food Products &amp; QA</t>
  </si>
  <si>
    <t>💼 3. SOCIAL &amp; ADMINISTRATIVE PHARMACY (SAP) — สังคมเภสัชกรรมและกฎหมาย</t>
  </si>
  <si>
    <t>ชื่อกลุ่มวิชา (SAP Group)</t>
  </si>
  <si>
    <t>1. Pharmacy Laws &amp; Ethics</t>
  </si>
  <si>
    <t>SAP</t>
  </si>
  <si>
    <t>ข้อสอบปรนัยกฎหมายและระบบยา</t>
  </si>
  <si>
    <t>2. Pharmacy Administration &amp; System</t>
  </si>
  <si>
    <t>ตัวเลือก 1 (ก)</t>
  </si>
  <si>
    <t>ตัวเลือก 2 (ข)</t>
  </si>
  <si>
    <t>ตัวเลือก 3 (ค)</t>
  </si>
  <si>
    <t>ตัวเลือก 4 (ง)</t>
  </si>
  <si>
    <t>ตัวเลือก 5 (จ)</t>
  </si>
  <si>
    <t>เฉลย (1-5)</t>
  </si>
  <si>
    <t>Filter หมวด/Subtopic</t>
  </si>
  <si>
    <t>Track (Clinic/Product/SAP)</t>
  </si>
  <si>
    <t>หมวดวิชา/ชีตปลายทาง ★</t>
  </si>
  <si>
    <t>1</t>
  </si>
  <si>
    <t>ผู้ป่วยชาย 65 ปี เป็นโรคเกาต์เรื้อรัง Serum Uric Acid 9.5 mg/dL ยาที่เหมาะสมสำหรับรักษาระยะยาวคืออะไร</t>
  </si>
  <si>
    <t>Colchicine 0.6 mg OD</t>
  </si>
  <si>
    <t>Indomethacin 50 mg TID</t>
  </si>
  <si>
    <t>Allopurinol 300 mg OD</t>
  </si>
  <si>
    <t>Prednisolone 30 mg OD</t>
  </si>
  <si>
    <t>3</t>
  </si>
  <si>
    <t>Allopurinol เป็น Urate-lowering therapy (ULT) สำหรับรักษาเกาต์ระยะยาว เป้าหมาย Serum Uric Acid &lt; 6 mg/dL ไม่ควรเริ่มใช้ระหว่างที่มี Acute attack</t>
  </si>
  <si>
    <t>Gout</t>
  </si>
  <si>
    <t>[TEST] Quick Ingestion</t>
  </si>
  <si>
    <t>แบบฝึกหัด</t>
  </si>
  <si>
    <t>TEST-2567</t>
  </si>
  <si>
    <t>2</t>
  </si>
  <si>
    <t>ผู้ป่วยหญิง 55 ปี เบาหวาน 10 ปี BP 148/92 mmHg eGFR 55 mL/min ควรเลือกยาลดความดันโลหิตกลุ่มใดเป็นอันดับแรก</t>
  </si>
  <si>
    <t>Amlodipine (CCB)</t>
  </si>
  <si>
    <t>Hydrochlorothiazide (Thiazide)</t>
  </si>
  <si>
    <t>Enalapril (ACEi)</t>
  </si>
  <si>
    <t>Metoprolol (Beta-blocker)</t>
  </si>
  <si>
    <t>Furosemide (Loop diuretic)</t>
  </si>
  <si>
    <t>ACEi เป็น First-line ในผู้ป่วย DM+HTN เพราะมีฤทธิ์ Renoprotective ลด Proteinuria และชะลอการเสื่อมของไต ถ้าไอให้เปลี่ยนเป็น ARB</t>
  </si>
  <si>
    <t>Hypertension in DM</t>
  </si>
  <si>
    <t>ผู้ป่วย T2DM HbA1c 9.5% BMI 32 ยังไม่ได้รับยา ยาที่เหมาะสมที่สุดเป็น Initial therapy คืออะไร</t>
  </si>
  <si>
    <t>Glibenclamide</t>
  </si>
  <si>
    <t>Metformin</t>
  </si>
  <si>
    <t>Insulin glargine</t>
  </si>
  <si>
    <t>Acarbose</t>
  </si>
  <si>
    <t>Sitagliptin</t>
  </si>
  <si>
    <t>Metformin เป็น First-line ใน T2DM ทุกราย (ถ้าไม่มีข้อห้าม) ลด HbA1c ได้ 1-2% น้ำหนักตัวไม่เพิ่ม ราคาถูก ลด CV events ได้</t>
  </si>
  <si>
    <t>Diabetes Mellitus</t>
  </si>
  <si>
    <t>4</t>
  </si>
  <si>
    <t>ผู้ป่วย 40 ปี ไข้ ไอ เสมหะ ตรวจ CXR พบ Lobar consolidation RLL ไม่มีโรคร่วม ไม่เคยใช้ยาปฏิชีวนะ 3 เดือน ควรเลือกยาอะไร</t>
  </si>
  <si>
    <t>Amoxicillin-clavulanate 875/125 mg PO BID</t>
  </si>
  <si>
    <t>Azithromycin 500 mg PO OD 3 วัน</t>
  </si>
  <si>
    <t>Amoxicillin 500 mg PO TID 5 วัน</t>
  </si>
  <si>
    <t>Levofloxacin 750 mg PO OD 5 วัน</t>
  </si>
  <si>
    <t>Ceftriaxone 1 g IV OD</t>
  </si>
  <si>
    <t>CAP ผู้ป่วยนอก ไม่มี Comorbidity ให้ Amoxicillin PO เป็น First-line ตาม ATS/IDSA 2019 Guidelines ครอบคลุม S. pneumoniae ซึ่งเป็น pathogen หลัก</t>
  </si>
  <si>
    <t>CAP (Community-Acquired Pneumonia)</t>
  </si>
  <si>
    <t>9. Respiratory &amp; Pulmonology</t>
  </si>
  <si>
    <t>5</t>
  </si>
  <si>
    <t>ข้อใดต่อไปนี้เป็นลักษณะของ Enteric-coated tablet ที่ถูกต้อง</t>
  </si>
  <si>
    <t>ละลายในกระเพาะอาหาร pH 1-2</t>
  </si>
  <si>
    <t>ปล่อยยาแบบ Sustained release ตลอด 24 ชั่วโมง</t>
  </si>
  <si>
    <t>ป้องกันการระคายเคืองกระเพาะอาหารโดยแตกตัวใน pH &gt; 5.5</t>
  </si>
  <si>
    <t>เคลือบด้วย Ethylcellulose เพื่อกันความชื้น</t>
  </si>
  <si>
    <t>ห้ามบดเพราะจะทำลาย Active ingredient</t>
  </si>
  <si>
    <t>Enteric-coated tablet เคลือบด้วยพอลิเมอร์ที่ทนกรด (เช่น HPMC phthalate, Eudragit L) ละลายที่ pH &gt; 5.5 ในลำไส้เล็ก จุดประสงค์: 1) กันยาระคายกระเพาะ 2) กันยาถูกทำลายในกรด</t>
  </si>
  <si>
    <t>Solid Dosage Forms</t>
  </si>
  <si>
    <t>6</t>
  </si>
  <si>
    <t>ผู้ป่วย Major Depression รักษาด้วย Fluoxetine 20 mg OD มา 6 สัปดาห์ อาการดีขึ้น 50% ขั้นตอนถัดไปที่เหมาะสมที่สุดคือ</t>
  </si>
  <si>
    <t>หยุดยาทันทีเพราะอาการดีขึ้นแล้ว</t>
  </si>
  <si>
    <t>เพิ่มขนาดยาเป็น Fluoxetine 40 mg</t>
  </si>
  <si>
    <t>รักษาต่อด้วยขนาดยาเดิมอีก 4-9 เดือน (Continuation Phase)</t>
  </si>
  <si>
    <t>เปลี่ยนยาเป็น Venlafaxine เพราะตอบสนองไม่ดีพอ</t>
  </si>
  <si>
    <t>เพิ่ม Lithium augmentation</t>
  </si>
  <si>
    <t>Continuation Phase ของ MDD ควรรักษาต่ออีก 4-9 เดือนหลังจากอาการหาย (Remission) เพื่อป้องกัน Relapse ห้ามหยุดยาเองหลังอาการดีขึ้นระยะสั้น</t>
  </si>
  <si>
    <t>Major Depressive Disorder</t>
  </si>
  <si>
    <t>Timestamp</t>
  </si>
  <si>
    <t>User</t>
  </si>
  <si>
    <t>Category/Mode</t>
  </si>
  <si>
    <t>Score</t>
  </si>
  <si>
    <t>Total</t>
  </si>
  <si>
    <t>Percentage</t>
  </si>
  <si>
    <t>TimeSpentSeconds</t>
  </si>
  <si>
    <t>2026-09-24T13:21:44.697Z</t>
  </si>
  <si>
    <t>บุคคลทั่วไป</t>
  </si>
  <si>
    <t>⏱️ จำลองสอบจริง PLE-CC1 (20 ข้อ)</t>
  </si>
  <si>
    <t>2026-09-24T13:36:42.772Z</t>
  </si>
  <si>
    <t>idea</t>
  </si>
  <si>
    <t>18. Clinical Nutrition</t>
  </si>
  <si>
    <t>เฉลย (ตัวเลข 1-5)</t>
  </si>
  <si>
    <t>Product / Clinic</t>
  </si>
  <si>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</si>
  <si>
    <t>Tramadol</t>
  </si>
  <si>
    <t>Naproxen</t>
  </si>
  <si>
    <t>Pethidine</t>
  </si>
  <si>
    <t>Probenecid</t>
  </si>
  <si>
    <t>Allopurinol</t>
  </si>
  <si>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</si>
  <si>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Gout Acute Flare: First-line = NSAIDs / Colchicine. ห้ามเริ่มยาลดกรดยูริกขณะ acute flare</t>
  </si>
  <si>
    <t>ข้อสอบจริง</t>
  </si>
  <si>
    <t>2567</t>
  </si>
  <si>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</si>
  <si>
    <t>น้ำผลไม้รสหวานที่มีน้ำตาล Fructose สูง</t>
  </si>
  <si>
    <t>ตับทอดหรือเครื่องในสัตว์</t>
  </si>
  <si>
    <t>เครื่องดื่มประเภทเบียร์หรือแอลกอฮอล์</t>
  </si>
  <si>
    <t>นมหรือผลิตภัณฑ์นมประเภทพร่องมันเนย (Low-fat dairy products)</t>
  </si>
  <si>
    <t>ปีกไก่ทอดหรือสัตว์ปีก</t>
  </si>
  <si>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</si>
  <si>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Gout Lifestyle: Low-fat dairy ช่วยลดกรดยูริก; หลีกเลี่ยง High-fructose, แอลกอฮอล์, เครื่องใน</t>
  </si>
  <si>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</si>
  <si>
    <t>ปวดศีรษะรุนแรง</t>
  </si>
  <si>
    <t>ผื่นลมพิษตามผิวหนัง</t>
  </si>
  <si>
    <t>ท้องเสียถ่ายเหลว</t>
  </si>
  <si>
    <t>ปัสสาวะเป็นเลือด</t>
  </si>
  <si>
    <t>ความดันโลหิตต่ำฉับพลัน</t>
  </si>
  <si>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</si>
  <si>
    <t>Colchicine Toxicity: สัญญาณเตือนพิษเฉียบพลัน = Diarrhea, N/V. แนะนำ Low-dose regimen</t>
  </si>
  <si>
    <t>หากผู้ป่วยโรคเกาต์ตรวจพบยีนหรืออัลลีลเสี่ยงต่อการแพ้ยารุนแรงชนิด HLA-B58:01 ห้ามใช้ยาในข้อใดต่อไปนี้</t>
  </si>
  <si>
    <t>Febuxostat</t>
  </si>
  <si>
    <t>Benzbromarone</t>
  </si>
  <si>
    <t>Lesinurad</t>
  </si>
  <si>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</si>
  <si>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Allopurinol SCARs: ผู้ป่วยไทยมีความชุกของ HLA-B58:01 สูง เสี่ยง SJS/TEN ต้องคัดกรอง</t>
  </si>
  <si>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</si>
  <si>
    <t>Osteoarthritis</t>
  </si>
  <si>
    <t>Osteoporosis</t>
  </si>
  <si>
    <t>Rheumatoid arthritis</t>
  </si>
  <si>
    <t>Osteomalacia</t>
  </si>
  <si>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</si>
  <si>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OA Diagnosis: Morning stiffness &lt; 30 นาที, Crepitus, ปวดเมื่อใช้งาน ดีขึ้นเมื่อพัก</t>
  </si>
  <si>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</si>
  <si>
    <t>Oral NSAIDs (เช่น Diclofenac)</t>
  </si>
  <si>
    <t>Oral Paracetamol + Orphenadrine</t>
  </si>
  <si>
    <t>Oral Ondansetron</t>
  </si>
  <si>
    <t>Oral Tramadol</t>
  </si>
  <si>
    <t>Topical NSAIDs (เช่น Diclofenac emulgel)</t>
  </si>
  <si>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</si>
  <si>
    <t>OA Knee First-line: Topical NSAIDs (Diclofenac emulgel) มีประสิทธิภาพดีและปลอดภัยต่อ GI/CV/Renal</t>
  </si>
  <si>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</si>
  <si>
    <t>Alkaline phosphatase</t>
  </si>
  <si>
    <t>Hemoglobin</t>
  </si>
  <si>
    <t>Creatine phosphokinase</t>
  </si>
  <si>
    <t>HLA-B58:01</t>
  </si>
  <si>
    <t>CYP3A4 polymorphism</t>
  </si>
  <si>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</si>
  <si>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Allopurinol Pharmacogenomics: ตรวจยีน HLA-B58:01 ก่อนเริ่มยาในคนไทยทุกราย</t>
  </si>
  <si>
    <t>เหตุใดแพทย์จึงสั่งใช้ยา Colchicine ขนาดต่ำ (เช่น 0.6 mg วันละครั้ง) ควบคู่กับยา Allopurinol ในระยะเริ่มต้นการรักษาโรคเกาต์ระยะยาว</t>
  </si>
  <si>
    <t>เพื่อป้องกันการเกิดข้ออักเสบเฉียบพลัน (Gout flare prophylaxis) ในระยะเริ่มยาลดกรดยูริก</t>
  </si>
  <si>
    <t>เสริมฤทธิ์ยา Allopurinol ในการขับกรดยูริกโดยทำหน้าที่คนละกลไก</t>
  </si>
  <si>
    <t>ป้องกันการเกิดก้อนโทฟัส (Tophi) ตามข้อต่าง ๆ</t>
  </si>
  <si>
    <t>ป้องกันการสะสมและการตกผลึกของสาร Xanthine ในหลอดเลือด</t>
  </si>
  <si>
    <t>เสริมฤทธิ์ยา Allopurinol โดยช่วยลดการขับถ่ายยาออกทางไต</t>
  </si>
  <si>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</si>
  <si>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Gout Flare Prophylaxis: ให้ Colchicine / NSAID ร่วมกับ Allopurinol นานอย่างน้อย 3-6 เดือน</t>
  </si>
  <si>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</si>
  <si>
    <t>Oral Diclofenac sodium</t>
  </si>
  <si>
    <t>Glucosamine sulfate oral capsule</t>
  </si>
  <si>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</si>
  <si>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ACR 2019 OA: แนะนำ Topical NSAID เป็นอันดับแรกก่อน Oral NSAID ในข้อเข่าเสื่อม</t>
  </si>
  <si>
    <t>2566</t>
  </si>
  <si>
    <t>เภสัชกรควรให้คำแนะนำแก่ผู้ป่วยเกี่ยวกับอาการไม่พึงประสงค์จากการใช้ยา (ADR) ที่โดดเด่นและพบบ่อยที่สุดของยา Colchicine ในข้อใด</t>
  </si>
  <si>
    <t>ปวดศีรษะเฉียบพลัน</t>
  </si>
  <si>
    <t>ความดันโลหิตต่ำ</t>
  </si>
  <si>
    <t>ผื่นคันตามผิวหนัง</t>
  </si>
  <si>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</si>
  <si>
    <t>Colchicine Counseling: หยุดยาหรือลดขนาดทันทีหากเกิดอาการถ่ายเหลวรุนแรง</t>
  </si>
  <si>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</si>
  <si>
    <t>Sulfasalazine</t>
  </si>
  <si>
    <t>เพิ่มขนาด Methotrexate</t>
  </si>
  <si>
    <t>เพิ่มขนาด Prednisolone</t>
  </si>
  <si>
    <t>เพิ่มยา Hydroxychloroquine</t>
  </si>
  <si>
    <t>เพิ่มยา Azathioprine</t>
  </si>
  <si>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</si>
  <si>
    <t>RA Treat-to-target: หากคุมโรคไม่ได้ด้วย MTX ให้พิจารณา Add-on csDMARDs อื่น (เช่น HCQ, SSZ)</t>
  </si>
  <si>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</si>
  <si>
    <t>เพื่อลดผลข้างเคียงทางไตของ Allopurinol</t>
  </si>
  <si>
    <t>เพื่อเสริมฤทธิ์ต้านอักเสบและลดกรดยูริกของยา Allopurinol</t>
  </si>
  <si>
    <t>เพื่อป้องกันการเกิดข้ออักเสบเฉียบพลัน (Gout flare) จากการเปลี่ยนแปลงของระดับกรดยูริก</t>
  </si>
  <si>
    <t>เพื่อลดการเกิดนิ่วในไตจากกรดยูริก</t>
  </si>
  <si>
    <t>เพื่อเพิ่มการดูดซึมยา Allopurinol ในระบบทางเดินอาหาร</t>
  </si>
  <si>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</si>
  <si>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Gout Prophylaxis: ป้องกัน Gout flare จากการแกว่งของระดับกรดยูริกในช่วงเริ่ม ULT</t>
  </si>
  <si>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</si>
  <si>
    <t>Complete Blood Count (CBC)</t>
  </si>
  <si>
    <t>Liver function tests (AST/ALT)</t>
  </si>
  <si>
    <t>Renal function (Serum creatinine)</t>
  </si>
  <si>
    <t>Chest X-ray</t>
  </si>
  <si>
    <t>การตรวจตาอย่างละเอียดโดยจักษุแพทย์ (Eye examination)</t>
  </si>
  <si>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</si>
  <si>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DMARDs Monitoring: HCQ ต้องตรวจคัดกรอง Retinal toxicity ด้วย Eye exam ประจำปี (MTX ไม่ต้อง)</t>
  </si>
  <si>
    <t>คำแนะนำข้อใดต่อไปนี้เกี่ยวกับการใช้ยา Methotrexate (MTX) ในผู้ป่วยโรคข้ออักเสบรูมาตอยด์ที่ ไม่เหมาะสม หรือผิดพลาด</t>
  </si>
  <si>
    <t>แนะนำให้หลีกเลี่ยงการดื่มเครื่องดื่มแอลกอฮอล์ในระหว่างใช้ยานี้</t>
  </si>
  <si>
    <t>รับประทานยาเพียงสัปดาห์ละ 1 ครั้งตามที่แพทย์สั่ง (ห้ามกินทุกวัน)</t>
  </si>
  <si>
    <t>รับประทานร่วมกับ Folic acid ตามแพทย์สั่งเพื่อลดอาการปากเปื่อยและผลข้างเคียงอื่น ๆ</t>
  </si>
  <si>
    <t>สามารถปรับลดขนาดยาเองได้ทันทีเมื่ออาการของโรคเริ่มคงที่หรือไม่มีอาการปวดอักเสบ</t>
  </si>
  <si>
    <t>หากมีอาการไข้ เจ็บคอ หรือไอแห้งผิดปกติ ให้หยุดยาและรีบมาพบแพทย์ทันที</t>
  </si>
  <si>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</si>
  <si>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DMARDs Counseling: MTX ทานสัปดาห์ละ 1 ครั้งเท่านั้น ห้ามทานทุกวัน และห้ามปรับลดขนาดยาเอง</t>
  </si>
  <si>
    <t>จากกรณีศึกษาผู้ป่วย RA ข้างต้น การจัดการการรักษาในข้อใดเหมาะสมที่สุดสำหรับคนไข้รายนี้เพื่อควบคุมอาการของโรค</t>
  </si>
  <si>
    <t>เพิ่มขนาดยา Methotrexate</t>
  </si>
  <si>
    <t>เพิ่มขนาดยา Corticosteroids</t>
  </si>
  <si>
    <t>เพิ่มยา Sulfasalazine</t>
  </si>
  <si>
    <t>เพิ่มยา Leflunomide</t>
  </si>
  <si>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</si>
  <si>
    <t>RA Sulfa Allergy: Sulfasalazine มีโครงสร้าง Sulfa ห้ามใช้ในคนไข้แพ้ Sulfa ให้เลี่ยงไปใช้ HCQ หรือ LEF</t>
  </si>
  <si>
    <t>จากประวัติและอาการแสดงทางคลินิกของผู้ป่วยรายนี้ คาดว่าผู้ป่วยเป็นโรคในข้อใดมากที่สุด</t>
  </si>
  <si>
    <t>Tendinitis</t>
  </si>
  <si>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</si>
  <si>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OA Clinical Features: ข้อฝืดขัดสั้น ๆ (&lt;30 นาที), อาการปวดสัมพันธ์กับการลงน้ำหนัก/เคลื่อนไหว</t>
  </si>
  <si>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</si>
  <si>
    <t>Etoricoxib</t>
  </si>
  <si>
    <t>Paracetamol</t>
  </si>
  <si>
    <t>Tolperisone</t>
  </si>
  <si>
    <t>Codeine</t>
  </si>
  <si>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</si>
  <si>
    <t>OA CV Safety: Etoricoxib / COX-2 inhibitors เพิ่มความเสี่ยง Thrombotic CV events สูงสุด</t>
  </si>
  <si>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</si>
  <si>
    <t>Paracetamol + Orphenadrine</t>
  </si>
  <si>
    <t>Glucosamine sulfate</t>
  </si>
  <si>
    <t>Capsaicin gel</t>
  </si>
  <si>
    <t>Diclofenac oral tablet</t>
  </si>
  <si>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</si>
  <si>
    <t>Gout / Herbal Medicine</t>
  </si>
  <si>
    <t>OA Capsaicin: Capsaicin ทาเฉพาะที่ออกฤทธิ์ยับยั้ง Substance P บรรเทาปวดข้อเข่าได้อย่างปลอดภัย</t>
  </si>
  <si>
    <t>ข้อใดคืออาการไม่พึงประสงค์จากการใช้ยา (ADR) สัมพันธ์กับขนาดยาและพบบ่อยที่สุดของยา Colchicine</t>
  </si>
  <si>
    <t>Stevens-Johnson Syndrome (SJS)</t>
  </si>
  <si>
    <t>Nephrotic syndrome</t>
  </si>
  <si>
    <t>ท้องเสียถ่ายเหลว (Diarrhea)</t>
  </si>
  <si>
    <t>ง่วงซึมอย่างรุนแรง</t>
  </si>
  <si>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</si>
  <si>
    <t>Colchicine ADR: Diarrhea เป็น ADR พบบ่อยสุดจากการรบกวนเซลล์เยื่อบุลำไส้ที่แบ่งตัวเร็ว</t>
  </si>
  <si>
    <t>เหตุใดแพทย์จึงสั่งใช้ยา Allopurinol ควบคู่กับ Colchicine วันละครั้ง ในการเริ่มต้นรักษาระยะยาว</t>
  </si>
  <si>
    <t>ยา Colchicine ช่วยลดผลข้างเคียงและอาการไม่พึงประสงค์ของยา Allopurinol</t>
  </si>
  <si>
    <t>เพื่อป้องกันข้ออักเสบเฉียบพลันกำเริบ (Gout flare) ในระหว่างเริ่มต้นใช้ยาลดกรดยูริก</t>
  </si>
  <si>
    <t>ยา Allopurinol ช่วยเสริมฤทธิ์ลดปวดและลดการอักเสบของยา Colchicine</t>
  </si>
  <si>
    <t>ยา Colchicine ช่วยเสริมฤทธิ์ยา Allopurinol ในการยับยั้งการสร้างกรดยูริก</t>
  </si>
  <si>
    <t>ป้องกันการเกิดผลข้างเคียงระยะยาวของยาลดกรดยูริกต่อไต</t>
  </si>
  <si>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</si>
  <si>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Gout Prophylaxis: Colchicine ป้องกันข้ออักเสบกำเริบซ้ำจากการสลายผลึก Urate ในช่วงเริ่มยาลดกรดยูริก</t>
  </si>
  <si>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</si>
  <si>
    <t>HLA-B35:05</t>
  </si>
  <si>
    <t>HLA-B15:02</t>
  </si>
  <si>
    <t>AST/ALT</t>
  </si>
  <si>
    <t>Serum creatinine (SCr)</t>
  </si>
  <si>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</si>
  <si>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Allopurinol Gene Screening: HLA-B58:01 allele เป็น biomarker ทำนายการเกิด SCARs</t>
  </si>
  <si>
    <t>ข้อใดต่อไปนี้จัดเป็นยาทางเลือกแรกที่ผู้ป่วยควรได้รับเพื่อบรรเทาอาการอักเสบเฉียบพลัน</t>
  </si>
  <si>
    <t>Oral Naproxen (หรือยากลุ่ม NSAIDs)</t>
  </si>
  <si>
    <t>Intra-articular steroid (ยาสเตียรอยด์ฉีดเข้าข้อ)</t>
  </si>
  <si>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</si>
  <si>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Acute Gout: Naproxen / NSAIDs เป็นทางเลือกแรก ห้ามเริ่ม Allopurinol ทันที</t>
  </si>
  <si>
    <t>2565</t>
  </si>
  <si>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</si>
  <si>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</si>
  <si>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Allopurinol Contraindication: ห้ามใช้เด็ดขาดในผู้ป่วยที่มีประวัติแพ้ยา Allopurinol รุนแรง (SJS/TEN)</t>
  </si>
  <si>
    <t>ข้อใดต่อไปนี้ ไม่ใช่ คำแนะนำในการปฏิบัติตัวและปรับพฤติกรรม (Non-pharmacological therapy) ที่เหมาะสมสำหรับผู้ป่วยโรคเกาต์</t>
  </si>
  <si>
    <t>แนะนำให้ลดน้ำหนักตัว</t>
  </si>
  <si>
    <t>แนะนำให้ลดหรือจำกัดการดื่มเครื่องดื่มสุราและแอลกอฮอล์</t>
  </si>
  <si>
    <t>แนะนำให้หลีกเลี่ยงหรือลดการรับประทานเครื่องในสัตว์</t>
  </si>
  <si>
    <t>แนะนำให้ลดการรับประทานน้ำผลไม้ที่มีน้ำตาล Fructose สูง</t>
  </si>
  <si>
    <t>แนะนำให้รับประทานวิตามินดี (Vitamin D) ปริมาณสูงเพื่อช่วยขับยูริก</t>
  </si>
  <si>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</si>
  <si>
    <t>Gout Advice: การหยุดยาลดกรดยูริกทันทีเมื่อปวดทำให้ยูริกแกว่งและอักเสบเรื้อรัง</t>
  </si>
  <si>
    <t>ยาในข้อใดต่อไปนี้ที่ ไม่มีผล ทำให้ระดับกรดยูริกในเลือดเพิ่มสูงขึ้น (Hyperuricemia) หรือขัดขวางการขับยูริกที่ไต</t>
  </si>
  <si>
    <t>Low dose aspirin</t>
  </si>
  <si>
    <t>Pyrazinamide</t>
  </si>
  <si>
    <t>Furosemide</t>
  </si>
  <si>
    <t>Hydrochlorothiazide (HCTZ)</t>
  </si>
  <si>
    <t>Fenofibrate</t>
  </si>
  <si>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</si>
  <si>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Gout Drug-Induced: Losartan ช่วยขับกรดยูริกทางปัสสาวะ ขณะที่ Thiazide/Aspirin ลดการขับยูริก</t>
  </si>
  <si>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</si>
  <si>
    <t>Rheumatoid factor (RF)</t>
  </si>
  <si>
    <t>C-reactive protein (CRP)</t>
  </si>
  <si>
    <t>Visual Analog Scale (VAS) score</t>
  </si>
  <si>
    <t>Complete Blood Count (CBC) และค่าการทำงานของตับ (AST/ALT)</t>
  </si>
  <si>
    <t>Erythrocyte Sedimentation Rate (ESR)</t>
  </si>
  <si>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</si>
  <si>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RA Disease Activity: ประเมินด้วย CDAI, SDAI หรือ DAS28 เพื่อปรับขนาดยาตาม Treat-to-target</t>
  </si>
  <si>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</si>
  <si>
    <t>เถาวัลย์เปรียง</t>
  </si>
  <si>
    <t>ชุมเห็ดเทศ</t>
  </si>
  <si>
    <t>รางจืด</t>
  </si>
  <si>
    <t>หญ้าหนวดแมว</t>
  </si>
  <si>
    <t>พญายอ</t>
  </si>
  <si>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</si>
  <si>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Herbal Medicine: สารสกัดเถาวัลย์เปรียง บรรเทาอาการปวดข้อเข่าเสื่อมได้เทียบเท่า NSAIDs</t>
  </si>
  <si>
    <t>จากผลการตรวจวัดทางห้องปฏิบัติการทางโลหิตวิทยาของผู้ป่วยรายนี้ ผู้ป่วยมีภาวะความผิดปกติของระบบเลือดในข้อใด</t>
  </si>
  <si>
    <t>Pancytopenia (เซลล์เม็ดเลือดต่ำทุกชนิด)</t>
  </si>
  <si>
    <t>Neutropenia (เม็ดเลือดขาวชนิดนิวโทรฟิลต่ำ)</t>
  </si>
  <si>
    <t>Thrombocytopenia (เกล็ดเลือดต่ำ)</t>
  </si>
  <si>
    <t>Anemia (ภาวะโลหิตจาง)</t>
  </si>
  <si>
    <t>Bicytopenia (เซลล์เม็ดเลือดต่ำสองชนิด)</t>
  </si>
  <si>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</si>
  <si>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MTX Toxicity: ตรวจพบ Leukopenia / Myelosuppression จากฤทธิ์ Antifolate ของ MTX</t>
  </si>
  <si>
    <t>2564</t>
  </si>
  <si>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</si>
  <si>
    <t>Colchicine</t>
  </si>
  <si>
    <t>ทั้ง Allopurinol และ Colchicine ร่วมกัน</t>
  </si>
  <si>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</si>
  <si>
    <t>Drug-Induced Cytopenia: MTX กดไขกระดูก ป้องกันได้ด้วยการให้ Folic acid เสริม</t>
  </si>
  <si>
    <t>จากข้อมูลข้างต้น ข้อใดคือคำจำกัดความที่ถูกต้องของค่า T-score ทางคลินิก</t>
  </si>
  <si>
    <t>ค่าความหนาแน่นมวลกระดูกของผู้ป่วยเมื่อเทียบกับค่าสูงสุดของประชากรเพศเดียวกันในวัยหนุ่มสาว (Peak bone mass)</t>
  </si>
  <si>
    <t>ค่าความหนาแน่นมวลกระดูกของผู้ป่วยเมื่อเทียบกับค่าเฉลี่ยของประชากรในช่วงอายุเดียวกัน</t>
  </si>
  <si>
    <t>ค่าความแข็งแรงทางสรีรวิทยาของกระดูกสะโพกและกระดูกสันหลัง</t>
  </si>
  <si>
    <t>ค่าที่ใช้สำหรับวินิจฉัยภาวะกระดูกน่วมและกระดูกบางในสตรีอายุน้อย</t>
  </si>
  <si>
    <t>อัตราส่วนความเสี่ยงในการเกิดกระดูกหักจากอุบัติเหตุล้มเบาบาง</t>
  </si>
  <si>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</si>
  <si>
    <t>Osteoporosis Definition: T-score ≤ -2.5 SD ณ Lumbar spine หรือ Hip</t>
  </si>
  <si>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</si>
  <si>
    <t>Alendronate (หรือยากลุ่ม Bisphosphonates)</t>
  </si>
  <si>
    <t>Raloxifene</t>
  </si>
  <si>
    <t>Strontium ranelate</t>
  </si>
  <si>
    <t>Teriparatide</t>
  </si>
  <si>
    <t>Calcitonin nasal spray</t>
  </si>
  <si>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</si>
  <si>
    <t>Osteoporosis First-line: Alendronate / Risedronate (Oral Bisphosphonates) ลด Fracture ได้ดีที่สุด</t>
  </si>
  <si>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</si>
  <si>
    <t>อายุของผู้ป่วย</t>
  </si>
  <si>
    <t>ราคาค่ายา</t>
  </si>
  <si>
    <t>น้ำหนักตัวของผู้ป่วย</t>
  </si>
  <si>
    <t>ประวัติการแพ้ยาของผู้ป่วย</t>
  </si>
  <si>
    <t>โรคร่วมและการใช้ยาอื่นร่วมของผู้ป่วย</t>
  </si>
  <si>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</si>
  <si>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NSAIDs Safety: ปัจจัยเสี่ยงแผลทางเดินอาหาร ได้แก่ ผู้สูงอายุ, ประวัติ GI bleed, ยาต้านเกล็ดเลือด</t>
  </si>
  <si>
    <t>2563</t>
  </si>
  <si>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</si>
  <si>
    <t>หลีกเลี่ยงการจ่ายยา NSAIDs ทุกชนิดเนื่องจากผู้ป่วยทาน Aspirin และเคยเกิดเลือดออกในทางเดินอาหาร</t>
  </si>
  <si>
    <t>จ่ายยา Acetaminophen (Paracetamol) เป็นตัวเลือกอันดับแรกในการบรรเทาปวดแทนยาอื่น</t>
  </si>
  <si>
    <t>สั่งจ่ายยากลุ่ม NSAIDs ร่วมกัน 2 ตัวเพื่อบรรเทาอาการปวดที่รุนแรง</t>
  </si>
  <si>
    <t>เลือกใช้ยากลุ่ม Selective COX-2 inhibitor เพียงอย่างเดียวโดยไม่ต้องใช้ยาอื่น</t>
  </si>
  <si>
    <t>จ่ายยากลุ่ม NSAIDs ร่วมกับ Proton Pump Inhibitor (PPI เช่น Omeprazole) ทุกครั้งเพื่อความปลอดภัยต่อทางเดินอาหาร</t>
  </si>
  <si>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</si>
  <si>
    <t>NSAIDs GI Protection: ใช้ Celecoxib ร่วมกับ PPIs ในผู้ป่วย High GI risk และ low CV risk</t>
  </si>
  <si>
    <t>จากการที่ผู้ป่วยรับประทานยา Allopurinol ยาจะถูกสลายสภาพโดยเอนไซม์ Xanthine oxidase ได้สารเมตาโบไลต์ชนิดใดในปัสสาวะ</t>
  </si>
  <si>
    <t>Hypoxanthine</t>
  </si>
  <si>
    <t>Inosine diphosphate</t>
  </si>
  <si>
    <t>Oxypurinol (หรือ Alloxanthine)</t>
  </si>
  <si>
    <t>Methyl 3-(3,5-di-tert-butyl-4-hydroxyphenyl)propionate</t>
  </si>
  <si>
    <t>L-adenine</t>
  </si>
  <si>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</si>
  <si>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Allopurinol Metabolism: เปลี่ยนเป็นสารออกฤทธิ์ Oxypurinol ขับออกทางไตเป็นหลัก ต้องปรับตาม CrCl</t>
  </si>
  <si>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</si>
  <si>
    <t>12 ชั่วโมง</t>
  </si>
  <si>
    <t>24 ชั่วโมง</t>
  </si>
  <si>
    <t>36 ชั่วโมง</t>
  </si>
  <si>
    <t>48 ชั่วโมง</t>
  </si>
  <si>
    <t>60 ชั่วโมง</t>
  </si>
  <si>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</si>
  <si>
    <t>Colchicine Flare Duration: ควรเริ่มยาภายใน 24-36 ชั่วโมงหลังมีอาการ และให้ต่อเนื่องจนอาการสงบ</t>
  </si>
  <si>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</si>
  <si>
    <t>น้อยกว่า 5 mg/dL</t>
  </si>
  <si>
    <t>น้อยกว่า 6 mg/dL</t>
  </si>
  <si>
    <t>น้อยกว่า 7 mg/dL</t>
  </si>
  <si>
    <t>น้อยกว่า 8 mg/dL</t>
  </si>
  <si>
    <t>น้อยกว่า 9 mg/dL</t>
  </si>
  <si>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</si>
  <si>
    <t>Gout SUA Target: เป้าหมายกรดยูริกในเลือด &lt; 6.0 mg/dL (&lt; 5.0 mg/dL หากมี Tophi)</t>
  </si>
  <si>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</si>
  <si>
    <t>Hyperuricemia</t>
  </si>
  <si>
    <t>Genital tract infection</t>
  </si>
  <si>
    <t>Angioedema</t>
  </si>
  <si>
    <t>Acute renal failure (ไตวายเฉียบพลัน)</t>
  </si>
  <si>
    <t>Constipation</t>
  </si>
  <si>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</si>
  <si>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NSAIDs AKI: ยับยั้ง Renal PGE2/PGI2 ทำให้เกิด Afferent arteriole vasoconstriction</t>
  </si>
  <si>
    <t>กลไกความเป็นพิษต่อไต (Nephrotoxicity) ของยากลุ่ม NSAIDs ในกรณีที่เกิดกับผู้ป่วยรายนี้ จัดเป็นรูปแบบการบาดเจ็บของไตในลักษณะใด</t>
  </si>
  <si>
    <t>Acute renal injury (Acute kidney injury: AKI)</t>
  </si>
  <si>
    <t>Renal stone (นิ่วในไต)</t>
  </si>
  <si>
    <t>Hemorrhagic cystitis (กระเพาะปัสสาวะอักเสบมีเลือดออก)</t>
  </si>
  <si>
    <t>Pyelonephritis (กรวยไตอักเสบ)</t>
  </si>
  <si>
    <t>Chronic kidney disease (โรคไตเรื้อรังระยะลุกลาม)</t>
  </si>
  <si>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</si>
  <si>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NSAIDs Nephrotoxicity: เสี่ยงต่อ Hemodynamic acute kidney injury โดยเฉพาะเมื่อใช้ร่วมกับ ACEI/Diuretics</t>
  </si>
  <si>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</si>
  <si>
    <t>Bisoprolol</t>
  </si>
  <si>
    <t>Metoprolol</t>
  </si>
  <si>
    <t>Amlodipine</t>
  </si>
  <si>
    <t>Manidipine</t>
  </si>
  <si>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</si>
  <si>
    <t>Gout Drug Caution: HCTZ และ Thiazide diuretics แย่งขับกรดยูริกที่ท่อไต ทำให้กรดยูริกสูงขึ้น</t>
  </si>
  <si>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</si>
  <si>
    <t>Azathioprine</t>
  </si>
  <si>
    <t>Cyclosporin</t>
  </si>
  <si>
    <t>Leflunomide</t>
  </si>
  <si>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</si>
  <si>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Gout Add-on ULT: หากใช้ Allopurinol เต็มขนาดแล้วยังไม่ถึงเป้า แนะนำ Add-on Uricosuric (Benzbromarone)</t>
  </si>
  <si>
    <t>จากกรณีศึกษาข้างต้น ผู้ป่วยรายนี้คาดว่าเป็นอาการแสดงของโรคในข้อใดมากที่สุด</t>
  </si>
  <si>
    <t>Rheumatoid Arthritis</t>
  </si>
  <si>
    <t>Ligament injury</t>
  </si>
  <si>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</si>
  <si>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OA Diagnosis: ปวดเข่า, ขยับมีเสียง Crepitus, ข้อติดตอนเช้า &lt; 30 นาที, ไม่มีอาการอักเสบร้อนแดง</t>
  </si>
  <si>
    <t>2562</t>
  </si>
  <si>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</si>
  <si>
    <t>Celecoxib</t>
  </si>
  <si>
    <t>Diacerein</t>
  </si>
  <si>
    <t>Diclofenac emulgel</t>
  </si>
  <si>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</si>
  <si>
    <t>OA CKD Caution: ห้ามใช้ Oral NSAIDs ในผู้ป่วย ESRD หรือ Severe CKD (eGFR &lt; 30 mL/min)</t>
  </si>
  <si>
    <t>ข้อใดต่อไปนี้เป็นแนวทางการปฏิบัติตัวและดูแลรักษาที่ ไม่แนะนำ สำหรับผู้ป่วยรายนี้</t>
  </si>
  <si>
    <t>ลดน้ำหนักตัวเพื่อลดแรงกดทับข้อเข่า</t>
  </si>
  <si>
    <t>ออกกำลังกายเบา ๆ ที่ไม่มีแรงกระแทก</t>
  </si>
  <si>
    <t>บริหารกล้ามเนื้อรอบบริเวณหัวเข่า</t>
  </si>
  <si>
    <t>รับประทาน Glucosamine sulfate เพื่อป้องกันและรักษาอาการ</t>
  </si>
  <si>
    <t>สวมรองเท้าส้นเตี้ยที่มีส้นหนานุ่มรับแรงกระแทก</t>
  </si>
  <si>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</si>
  <si>
    <t>OA Management: ลดน้ำหนัก, กายภาพบำบัดเพิ่มความแข็งแรงของกล้ามเนื้อรอบข้อเข่า Quadriceps</t>
  </si>
  <si>
    <t>ยาต้านการสลายกระดูกในข้อใดจัดเป็นยาทางเลือกแรกที่ควรเลือกใช้รักษาอาการกระดูกพรุนในผู้ป่วยรายนี้</t>
  </si>
  <si>
    <t>Nasal salmon calcitonin</t>
  </si>
  <si>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</si>
  <si>
    <t>Osteoporosis First-line: Alendronate เพิ่ม BMD และลดอุบัติการณ์กระดูกหักได้อย่างมีนัยสำคัญ</t>
  </si>
  <si>
    <t>ข้อใดคืออาการไม่พึงประสงค์ (ADR) ที่สำคัญและรุนแรงที่สุดของยากลุ่ม Bisphosphonates ที่แพทย์และเภสัชกรต้องเฝ้าระวังอย่างใกล้ชิด</t>
  </si>
  <si>
    <t>Psychosis</t>
  </si>
  <si>
    <t>Osteonecrosis of the jaw (กระดูกขากรรไกรเน่าเสีย)</t>
  </si>
  <si>
    <t>Epistaxis</t>
  </si>
  <si>
    <t>Transient flu-like syndrome</t>
  </si>
  <si>
    <t>Cardiac rhythm interruption</t>
  </si>
  <si>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</si>
  <si>
    <t>Bisphosphonates ADR: Osteonecrosis of the Jaw (ONJ) ต้องตรวจและทำหัตถการทันตกรรมก่อนเริ่มยา</t>
  </si>
  <si>
    <t>ข้อใดคือกลไกการออกฤทธิ์ทางเภสัชวิทยาในการต้านการอักเสบของยากลุ่ม Corticosteroids ในร่างกาย</t>
  </si>
  <si>
    <t>รบกวนการจำลองตัวของดีเอ็นเอ (DNA synthesis)</t>
  </si>
  <si>
    <t>ยับยั้งการหลั่งสาร Cytokine IL-2</t>
  </si>
  <si>
    <t>ยับยั้งการสังเคราะห์และหลั่งสาร Melatonin</t>
  </si>
  <si>
    <t>ยับยั้งการสังเคราะห์สาร Ergosterol ที่ผนังเซลล์</t>
  </si>
  <si>
    <t>ยับยั้งการทำงานของเอนไซม์ Phospholipase A2</t>
  </si>
  <si>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</si>
  <si>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Steroids Mechanism: จับกับ Glucocorticoid receptor ยับยั้ง NF-kB และลดการสร้าง Pro-inflammatory cytokines</t>
  </si>
  <si>
    <t>ตามเกณฑ์การแบ่งระดับความหนาแน่นมวลกระดูก (BMD) ของ WHO ภาวะกระดูกพรุน (Osteoporosis) จะถูกวินิจฉัยเมื่อตรวจพบระดับ T-score เป็นอย่างไร</t>
  </si>
  <si>
    <t>มากกว่า 2.5</t>
  </si>
  <si>
    <t>ระหว่าง 1.0 ถึง 2.5</t>
  </si>
  <si>
    <t>ระหว่าง -1.0 ถึง 1.0</t>
  </si>
  <si>
    <t>ระหว่าง -2.5 ถึง -1.0</t>
  </si>
  <si>
    <t>น้อยกว่าหรือเท่ากับ -2.5</t>
  </si>
  <si>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</si>
  <si>
    <t>BMD Criteria: WHO เกณฑ์ Osteoporosis คือ T-score ≤ -2.5 SD</t>
  </si>
  <si>
    <t>จากข้อมูลกรณีศึกษาข้างต้น ผู้ป่วยรายนี้ควรได้รับการวินิจฉัยว่าเป็นโรคในข้อใดต่อไปนี้</t>
  </si>
  <si>
    <t>Osteopenia</t>
  </si>
  <si>
    <t>Osteosarcoma</t>
  </si>
  <si>
    <t>Osteomyelitis</t>
  </si>
  <si>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</si>
  <si>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Osteoporosis Fragility Fracture: ผู้สูงอายุหกล้มกระดูกข้อมือหัก ร่วมกับ T-score ≤ -2.5 วินิจฉัย Osteoporosis</t>
  </si>
  <si>
    <t>2561</t>
  </si>
  <si>
    <t>ข้อใดต่อไปนี้จัดเป็นปัจจัยเสี่ยงของการเกิดโรคกระดูกพรุนของผู้ป่วยรายนี้</t>
  </si>
  <si>
    <t>เพศหญิงและอายุที่มากขึ้น (วัยหมดประจำเดือน)</t>
  </si>
  <si>
    <t>การใช้ยากลุ่มขับปัสสาวะ Hydrochlorothiazide (HCTZ)</t>
  </si>
  <si>
    <t>การใช้ยากลุ่ม Calcium channel blockers (เช่น Nifedipine)</t>
  </si>
  <si>
    <t>การมีโรคประจำตัวเป็นความดันโลหิตสูง</t>
  </si>
  <si>
    <t>ประวัติครอบครัวที่คุณป้าเป็นโรคข้อเสื่อม</t>
  </si>
  <si>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</si>
  <si>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Osteoporosis Risk Factors: วัยหมดประจำเดือน ขาดฮอร์โมน Estrogen ทำให้ Osteoclast สลายกระดูกเด่น</t>
  </si>
  <si>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</si>
  <si>
    <t>Cystitis</t>
  </si>
  <si>
    <t>Diabetes</t>
  </si>
  <si>
    <t>Psoriasis</t>
  </si>
  <si>
    <t>Epilepsy</t>
  </si>
  <si>
    <t>Peptic ulcer</t>
  </si>
  <si>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</si>
  <si>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Osteoarthritis / Herbal Medicine</t>
  </si>
  <si>
    <t>Derris scandens Caution: เถาวัลย์เปรียงยับยั้ง COX มีฤทธิ์ระคายเคืองกระเพาะอาหาร ระวังใน Peptic ulcer</t>
  </si>
  <si>
    <t>ยาในข้อใดจัดเป็นยาทางเลือกแรกที่ควรเลือกใช้รักษาอาการโรคกระดูกพรุนหลังเกิดอุบัติเหตุกระดูกหักในผู้ป่วยรายนี้</t>
  </si>
  <si>
    <t>Calcitonin</t>
  </si>
  <si>
    <t>Denosumab</t>
  </si>
  <si>
    <t>Alendronate</t>
  </si>
  <si>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</si>
  <si>
    <t>Osteoporosis Secondary Prevention: Alendronate เป็นยาทางเลือกแรกในการป้องกันกระดูกหักซ้ำ</t>
  </si>
  <si>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</si>
  <si>
    <t>Hyponatremia</t>
  </si>
  <si>
    <t>Hypercalcemia</t>
  </si>
  <si>
    <t>Ketoacidosis</t>
  </si>
  <si>
    <t>Respiratory acidosis</t>
  </si>
  <si>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</si>
  <si>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Bisphosphonates Rare ADR: ONJ และ Atypical femoral fracture (AFF) สัมพันธ์กับการใช้ยาระยะยาว</t>
  </si>
  <si>
    <t>จากกรณีศึกษา ยาตัวใดในรายการยาที่ผู้ป่วยได้รับที่มีความเป็นพิษต่อไตสูงสุดหากใช้อย่างต่อเนื่องเป็นเวลานาน</t>
  </si>
  <si>
    <t>Risedronate</t>
  </si>
  <si>
    <t>Diclofenac</t>
  </si>
  <si>
    <t>Glucosamine</t>
  </si>
  <si>
    <t>Vitamin B complex</t>
  </si>
  <si>
    <t>Calcium carbonate</t>
  </si>
  <si>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</si>
  <si>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NSAIDs Renal Safety: ยับยั้ง Prostaglandins ลดเลือดไปเลี้ยงไต ส่งผลให้ Scr สูงขึ้นและเกิดไตวาย</t>
  </si>
  <si>
    <t>2559</t>
  </si>
  <si>
    <t>ข้อความใดต่อไปนี้อธิบายคำแนะนำในการรับประทานยา Risedronate ที่ ไม่ถูกต้อง</t>
  </si>
  <si>
    <t>ควรรับประทานยาวันเดียวกันในแต่ละสัปดาห์</t>
  </si>
  <si>
    <t>ยาอาจทำให้เกิดการระคายเคืองและมีแผลที่หลอดอาหารได้</t>
  </si>
  <si>
    <t>หลังรับประทานยาแล้ว ต้องนั่งหรือยืนตัวตรงอย่างน้อย 30 นาที</t>
  </si>
  <si>
    <t>ควรรับประทานยาก่อนอาหารอย่างน้อย 1 ชั่วโมง</t>
  </si>
  <si>
    <t>ควรรับประทานยาร่วมกับนมหรือยาลดกรดเพื่อเพิ่มประสิทธิภาพการดูดซึมยา</t>
  </si>
  <si>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</si>
  <si>
    <t>Bisphosphonates Administration: ทานตอนเช้าก่อนอาหาร 30 นาที ดื่มน้ำเปล่าเต็มแก้ว และห้ามนอนราบ 30 นาที</t>
  </si>
  <si>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</si>
  <si>
    <t>พฤติกรรมการไม่ชอบออกกำลังกาย</t>
  </si>
  <si>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</si>
  <si>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NSAIDs Blood Pressure: NSAIDs ยับยั้ง Renal PG ทำให้เกิดการคั่งของโซเดียมและน้ำ ส่งผลให้ความดันโลหิตสูงขึ้น</t>
  </si>
  <si>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</si>
  <si>
    <t>Ibuprofen</t>
  </si>
  <si>
    <t>Piroxicam</t>
  </si>
  <si>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</si>
  <si>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ACR 2019 Knee OA: Strongly recommend Topical NSAIDs over oral NSAIDs; Exercise &amp; weight management are core non-pharmacologic interventions.</t>
  </si>
  <si>
    <t>ผู้ป่วยรายนี้ควรได้รับยาในข้อใดเป็นทางเลือกแรก (First-line) สำหรับการบรรเทาอาการปวดตามแนวทางเวชปฏิบัติ</t>
  </si>
  <si>
    <t>Acetaminophen</t>
  </si>
  <si>
    <t>Orphenadrine + Paracetamol</t>
  </si>
  <si>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</si>
  <si>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OA Treatment Hierarchy: Paracetamol หรือ Topical NSAIDs เป็นตัวเลือกลำดับแรกในข้อเข่าเสื่อม</t>
  </si>
  <si>
    <t>ยา Naproxen มีกลไกการออกฤทธิ์ทางเภสัชวิทยาต้านการอักเสบอย่างไร</t>
  </si>
  <si>
    <t>ลดการสร้างสาร Leukotriene</t>
  </si>
  <si>
    <t>ลดการสร้างสาร Thromboxane A2</t>
  </si>
  <si>
    <t>ยับยั้งการทำงานของ Prostaglandin receptor</t>
  </si>
  <si>
    <t>ยับยั้งการทำงานของเอนไซม์ Lipo-oxygenase</t>
  </si>
  <si>
    <t>ยับยั้งการทำงานของเอนไซม์ Cyclo-oxygenase</t>
  </si>
  <si>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</si>
  <si>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NSAIDs Mechanism: ยับยั้งเอนไซม์ Cyclooxygenase (COX) ลดการสร้าง Prostaglandins บรรเทาปวดอักเสบ</t>
  </si>
  <si>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</si>
  <si>
    <t>เปลี่ยนเป็นยา Celecoxib</t>
  </si>
  <si>
    <t>เปลี่ยนเป็นยา Tramadol</t>
  </si>
  <si>
    <t>เปลี่ยนเป็นยา Methotrexate</t>
  </si>
  <si>
    <t>รับประทาน Naproxen 250 mg ร่วมกับ Antacid</t>
  </si>
  <si>
    <t>รับประทาน Naproxen 500 mg ร่วมกับ Omeprazole</t>
  </si>
  <si>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</si>
  <si>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NSAIDs GI Prevention: ให้ PPI (เช่น Omeprazole) ร่วมกับ NSAID ช่วยป้องกันการเกิด Gastric &amp; Duodenal ulcers</t>
  </si>
  <si>
    <t>ข้อใดคืออาการไม่พึงประสงค์ (ADR) สำคัญที่พบบ่อยและร้ายแรงของยา Hydroxychloroquine ที่ต้องได้รับการตรวจติดตามระบบตาอย่างต่อเนื่อง</t>
  </si>
  <si>
    <t>Renal toxicity</t>
  </si>
  <si>
    <t>Hepatotoxicity</t>
  </si>
  <si>
    <t>Retinal toxicity (พิษต่อจอประสาทตา)</t>
  </si>
  <si>
    <t>Hematologic toxicity</t>
  </si>
  <si>
    <t>Gastrointestinal toxicity</t>
  </si>
  <si>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</si>
  <si>
    <t>Hydroxychloroquine Ocular Toxicity: ตกตะกอนที่ Retinal pigment epithelium ต้องตรวจลานสายตาและจอประสาทตาทุกปี</t>
  </si>
  <si>
    <t>สารสำคัญทางธรรมชาติที่มีผลต่อนวัตกรรมหรือการบำบัดสรรพคุณลดปวดอักเสบที่ผสมอยู่ในเจลพริกคือสารใด</t>
  </si>
  <si>
    <t>Eugenol</t>
  </si>
  <si>
    <t>Capsaicin</t>
  </si>
  <si>
    <t>Piperazine</t>
  </si>
  <si>
    <t>Volatile oil</t>
  </si>
  <si>
    <t>Curcuminoid</t>
  </si>
  <si>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</si>
  <si>
    <t>Capsaicin Gel: สารสกัดจากพริก ยับยั้งการหลั่ง Substance P จากปลายประสาทรับความรู้สึกปวด</t>
  </si>
  <si>
    <t>ข้อใดต่อไปนี้ ไม่ใช่ เกณฑ์ทางคลินิกที่สมาคมโรคข้อแห่งสหรัฐอเมริกา (ACR) กำหนดใช้สำหรับการวินิจฉัยโรคข้อเข่าเสื่อม (Osteoarthritis)</t>
  </si>
  <si>
    <t>การเกิดพยาธิสภาพที่ข้อเข่าทั้งสองข้างพร้อมกัน</t>
  </si>
  <si>
    <t>ตรวจคลำดูแล้วบวมเล็กน้อย ไม่มีปวดแดงร้อนรุนแรง</t>
  </si>
  <si>
    <t>มีอาการข้อฝืดขัดหลังตื่นนอนตอนเช้านานน้อยกว่า 30 นาที</t>
  </si>
  <si>
    <t>มีเสียงกรอบแกรบในข้อเข่าขณะขยับเคลื่อนไหว</t>
  </si>
  <si>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</si>
  <si>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OA Diagnostic Criteria: Morning stiffness นานเกิน 1 ชั่วโมง เป็นลักษณะของ RA ไม่ใช่ OA (OA &lt; 30 นาที)</t>
  </si>
  <si>
    <t>2558</t>
  </si>
  <si>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</si>
  <si>
    <t>Paracetamol (Acetaminophen)</t>
  </si>
  <si>
    <t>Diclofenac sodium</t>
  </si>
  <si>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</si>
  <si>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OA First-line Analgesic: Paracetamol ขนาดไม่เกิน 3,000-4,000 mg/day เหมาะสำหรับ Mild-to-moderate OA pain</t>
  </si>
  <si>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</si>
  <si>
    <t>ขมิ้นชัน</t>
  </si>
  <si>
    <t>ใบฝรั่ง</t>
  </si>
  <si>
    <t>เมล็ดน้อยหน่า</t>
  </si>
  <si>
    <t>เจลพริก</t>
  </si>
  <si>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</si>
  <si>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Curcumin in Knee OA: สารสกัดขมิ้นชัน มีฤทธิ์ลดปวดข้อเข่าเสื่อมได้ดีเทียบเท่า Ibuprofen และ GI safety สูงกว่า</t>
  </si>
  <si>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</si>
  <si>
    <t>Cimetidine</t>
  </si>
  <si>
    <t>Omeprazole</t>
  </si>
  <si>
    <t>Sucralfate</t>
  </si>
  <si>
    <t>Antacid</t>
  </si>
  <si>
    <t>Misoprostol</t>
  </si>
  <si>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</si>
  <si>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PPI Co-prescription: Omeprazole เป็นยาทางเลือกมาตรฐานในการป้องกัน NSAID-induced ulcer</t>
  </si>
  <si>
    <t>ยากลุ่ม NSAIDs ตัวใดต่อไปนี้ที่มีความปลอดภัยและส่งผลกระทบต่อระบบหัวใจและหลอดเลือด (Cardiovascular safety) ต่ำที่สุด</t>
  </si>
  <si>
    <t>Sulindac</t>
  </si>
  <si>
    <t>Parecoxib</t>
  </si>
  <si>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</si>
  <si>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NSAIDs CV Risk: Parecoxib / Selective COX-2 inhibitors มีความเสี่ยงต่อ CV events สูงสุด</t>
  </si>
  <si>
    <t>ปฏิกิริยาการแพ้ยาในผู้ป่วยรายนี้ (Toxic Epidermal Necrolysis: TEN) จัดอยู่ในการแพ้ยาประเภทใดตามสากล (Coombs and Gell classification)</t>
  </si>
  <si>
    <t>Type I</t>
  </si>
  <si>
    <t>Type II</t>
  </si>
  <si>
    <t>Type III</t>
  </si>
  <si>
    <t>Type IV</t>
  </si>
  <si>
    <t>Mixed type</t>
  </si>
  <si>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</si>
  <si>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TEN Hypersensitivity: จัดเป็น Type IV (Delayed cell-mediated) hypersensitivity กระตุ้นโดย CD8+ T cells</t>
  </si>
  <si>
    <t>ยาในข้อใดต่อไปนี้ที่เป็นสาเหตุหรือตัวกระตุ้นหลักที่มีโอกาสทำให้เกิดการแพ้ยารุนแรงชนิด TEN ในผู้ป่วยรายนี้มากที่สุด</t>
  </si>
  <si>
    <t>การรับประทานยา Paracetamol</t>
  </si>
  <si>
    <t>การรับประทานยา Allopurinol</t>
  </si>
  <si>
    <t>ประวัติการเจ็บป่วยเป็นเบาหวานและไขมันในเลือดสูง</t>
  </si>
  <si>
    <t>เพศหญิงและสถานะการแต่งงานของผู้ป่วย</t>
  </si>
  <si>
    <t>สภาพแวดล้อมหรือโรคความดันโลหิตสูงที่เป็นอยู่</t>
  </si>
  <si>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</si>
  <si>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Allopurinol-induced TEN: Allopurinol เป็นสาเหตุพบบ่อยอันดับต้น ๆ ของ SJS/TEN ในประเทศไทย</t>
  </si>
  <si>
    <t>ข้อใดต่อไปนี้ ไม่เกี่ยวข้อง หรือไม่ได้ใช้เป็นเกณฑ์การวินิจฉัยและการประเมินความรุนแรงของโรค Toxic Epidermal Necrolysis (TEN)</t>
  </si>
  <si>
    <t>มีผื่นผิวหนังลอกไหม้มากกว่าร้อยละ 30 ของร่างกาย</t>
  </si>
  <si>
    <t>อาการนำเริ่มต้น เช่น มีไข้ เจ็บคอ และมีผื่นแดงเกิดขึ้น</t>
  </si>
  <si>
    <t>ประวัติได้รับยากลุ่มที่มีความถี่การแพ้สูง (High incidence drug)</t>
  </si>
  <si>
    <t>การเกิดแผลและผดพุพองตามเยื่อบุอวัยวะต่าง ๆ</t>
  </si>
  <si>
    <t>ระยะเวลาการเป็นโรคประจำตัวเรื้อรังนานกว่า 2 สัปดาห์ขึ้นไป</t>
  </si>
  <si>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</si>
  <si>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TEN Diagnosis: เกณฑ์การวินิจฉัยประเมินจาก Skin detachment &gt; 30% BSA, Mucosal involvement, และ SCORTEN</t>
  </si>
  <si>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</si>
  <si>
    <t>Mild severity</t>
  </si>
  <si>
    <t>Moderate severity</t>
  </si>
  <si>
    <t>Severe severity (หรือ Life-threatening)</t>
  </si>
  <si>
    <t>Minor severity</t>
  </si>
  <si>
    <t>Chronic severity</t>
  </si>
  <si>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</si>
  <si>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TEN Severity Level: SJS/TEN เป็นอาการไม่พึงประสงค์ระดับ Life-threatening ที่มีอัตราการเสียชีวิตสูง</t>
  </si>
  <si>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</si>
  <si>
    <t>Acute gout</t>
  </si>
  <si>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</si>
  <si>
    <t>ข้อ 1 Pharma Plus เล่มม่วง (เฉลยข้อ ง)</t>
  </si>
  <si>
    <t>Pharma Plus เล่มม่วง</t>
  </si>
  <si>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</si>
  <si>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</si>
  <si>
    <t>ข้อ 2 Pharma Plus เล่มม่วง (เฉลยข้อ ค)</t>
  </si>
  <si>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</si>
  <si>
    <t>Prednisolone</t>
  </si>
  <si>
    <t>Indomethacin</t>
  </si>
  <si>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</si>
  <si>
    <t>ข้อ 3 Pharma Plus เล่มม่วง (เฉลยข้อ ค)</t>
  </si>
  <si>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</si>
  <si>
    <t>Corticosteroid</t>
  </si>
  <si>
    <t>Xanthine oxidase inhibitor</t>
  </si>
  <si>
    <t>Uricosuric agent</t>
  </si>
  <si>
    <t>NSAID</t>
  </si>
  <si>
    <t>Para-aminophenol derivatives</t>
  </si>
  <si>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</si>
  <si>
    <t>ข้อ 4 Pharma Plus เล่มม่วง (เฉลยข้อ จ)</t>
  </si>
  <si>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</si>
  <si>
    <t>Hydroxychloroquine</t>
  </si>
  <si>
    <t>Auranofin</t>
  </si>
  <si>
    <t>Methotrexate</t>
  </si>
  <si>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</si>
  <si>
    <t>ข้อ 5 Pharma Plus เล่มม่วง (เฉลยข้อ ก)</t>
  </si>
  <si>
    <t>ข้อใดเป็นข้อแนะนำที่ไม่เหมาะสมสำหรับผู้ป่วย</t>
  </si>
  <si>
    <t>ลดน้ำหนัก</t>
  </si>
  <si>
    <t>ให้ออกกำลังกาย</t>
  </si>
  <si>
    <t>การใช้อุปกรณ์พยุงข้อเข่า (Knee brace) เพื่อช่วยแบ่งเบาภาระการรับน้ำหนัก</t>
  </si>
  <si>
    <t>หลีกเลี่ยงการฉีดยาเข้าข้อในและติดต่อกัน</t>
  </si>
  <si>
    <t>รับประทานยา codeine เมื่อมีอาการปวดทันที</t>
  </si>
  <si>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</si>
  <si>
    <t>ข้อ 6 Pharma Plus เล่มม่วง (เฉลยข้อ จ)</t>
  </si>
  <si>
    <t>ท่านคิดว่าผลิตภัณฑ์จากสมุนไพรข้อใด มีข้อบ่งใช้ใกล้เคียงกับ diclofenac emulsion gel มากที่สุด</t>
  </si>
  <si>
    <t>เจลพพลู</t>
  </si>
  <si>
    <t>ครีมชุมเห็ดเทศ</t>
  </si>
  <si>
    <t>เจลว่านหางจระเข้</t>
  </si>
  <si>
    <t>ครีมไพล</t>
  </si>
  <si>
    <t>ครีมพญายอ</t>
  </si>
  <si>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</si>
  <si>
    <t>ข้อ 7 Pharma Plus เล่มม่วง (เฉลยข้อ ง)</t>
  </si>
  <si>
    <t>ข้อใดถูกต้อง</t>
  </si>
  <si>
    <t>เมื่อโรคข้อเสื่อมเกิดการอักเสบร่วมด้วยควรเลือกใช้ยา opioid analgesic จะเหมาะสมกว่ากลุ่ม NSAIDs</t>
  </si>
  <si>
    <t>Opioid analgesic ไม่ควรใช้ติดต่อกันนานเพราะจะทำให้เกิดการติดยา</t>
  </si>
  <si>
    <t>การใช้ยา NSAIDs ควรเริ่มในขนาดที่สูงก่อนเพื่อบรรเทาอาการเจ็บปวดทันทีก่อน</t>
  </si>
  <si>
    <t>ผลข้างเคียงของการใช้ยากลุ่ม opioid analgesic ที่พบบ่อย คือ ท้องเสีย</t>
  </si>
  <si>
    <t>ยากลุ่ม cox-1 มีผลต่อการเกาะกลุ่มของเกล็ดเลือดมากกว่ายากลุ่ม cox-2</t>
  </si>
  <si>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</si>
  <si>
    <t>ข้อ 8 Pharma Plus เล่มม่วง (เฉลยข้อ ข)</t>
  </si>
  <si>
    <t>เมื่อแพทย์พิจารณาแล้วจึงจ่ายยากลุ่ม cox-2 selective inhibitor ข้อใดถูกต้องเกี่ยวกับ cox-2 selective inhibitor</t>
  </si>
  <si>
    <t>ในโครงสร้างของยากลุ่ม Cox-2 inhibitor มี Carboxyl group เป็นส่วนสำคัญที่ใช้ในการจับกับของ enzyme cox-2</t>
  </si>
  <si>
    <t>ยากลุ่ม cox-2 inhibitor ไม่มีผลข้างเคียงต่อกระเพาะอาหาร เนื่องจากยับยั้งเอนไซม์ cox-2 ที่กระเพาะอาหาร</t>
  </si>
  <si>
    <t>ยากลุ่ม cox-2 inhibitor แต่ละตัวมี cox-2/cox-1 Selective ratio ที่แตกต่างกัน</t>
  </si>
  <si>
    <t>ยากลุ่ม cox-2 inhibitor ทุกตัวไม่สามารถให้ในผู้ป่วยที่แพ้ยากลุ่ม sulfonamide ได้</t>
  </si>
  <si>
    <t>ยากลุ่ม cox-2 inhibitor ออกฤทธิ์จับกับ Cox-2 เท่านั้น โดยไม่สามารถจับกับเอนไซม์ cox-1 ได้</t>
  </si>
  <si>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</si>
  <si>
    <t>ข้อ 9 Pharma Plus เล่มม่วง (เฉลยข้อ ค)</t>
  </si>
  <si>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</si>
  <si>
    <t>ปวดบวมข้อที่นิ้วมือและเท้า</t>
  </si>
  <si>
    <t>ปวดบวมแดงร้อน</t>
  </si>
  <si>
    <t>Uric acid</t>
  </si>
  <si>
    <t>Scr</t>
  </si>
  <si>
    <t>Synovial crystal</t>
  </si>
  <si>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</si>
  <si>
    <t>ข้อ 10 Pharma Plus เล่มม่วง (เฉลยข้อ จ)</t>
  </si>
  <si>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</si>
  <si>
    <t>Aspirin</t>
  </si>
  <si>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</si>
  <si>
    <t>ข้อ 11 Pharma Plus เล่มม่วง (เฉลยข้อ ค)</t>
  </si>
  <si>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</si>
  <si>
    <t>CaCO3</t>
  </si>
  <si>
    <t>HCTZ</t>
  </si>
  <si>
    <t>MFM</t>
  </si>
  <si>
    <t>Simvastatin</t>
  </si>
  <si>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</si>
  <si>
    <t>ข้อ 12 Pharma Plus เล่มม่วง (เฉลยข้อ ง)</t>
  </si>
  <si>
    <t>ยาใดควรระวังในกลุ่ม sulfonamide</t>
  </si>
  <si>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</si>
  <si>
    <t>ข้อ 13 Pharma Plus เล่มม่วง (เฉลยข้อ ค)</t>
  </si>
  <si>
    <t>NSAID ที่มีฤทธิ์เปลี่ยนแปลงระดับ uric acid ในเลือด</t>
  </si>
  <si>
    <t>Nimesulide</t>
  </si>
  <si>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</si>
  <si>
    <t>ข้อ 14 Pharma Plus เล่มม่วง (เฉลยข้อ ก)</t>
  </si>
  <si>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</si>
  <si>
    <t>เกิดจากการสร้าง uric acid มากเกินไป</t>
  </si>
  <si>
    <t>เกิดจากการที่ขับ uric acid ได้น้อยลง</t>
  </si>
  <si>
    <t>อาการจะค่อยๆปวด มากขึ้นเรื่อย ๆ</t>
  </si>
  <si>
    <t>อาการมักจะเกิดตอนกลางคืนหรือเช้ามืด</t>
  </si>
  <si>
    <t>อาจพบนิ่วตกตะกอนที่ไตได้</t>
  </si>
  <si>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</si>
  <si>
    <t>ข้อ 15 Pharma Plus เล่มม่วง (เฉลยข้อ ค)</t>
  </si>
  <si>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</si>
  <si>
    <t>โรคที่อาจมีผลทำให้ระดับ uric acid สูงขึ้น ได้แก่ เบาหวาน ความดันโลหิตสูง</t>
  </si>
  <si>
    <t>หากผู้ป่วยมีอาการปวดข้อ ข้อบวมควรรีบให้ยาลดระดับ uric acid ในเลือด</t>
  </si>
  <si>
    <t>การให้ยา aspirin ในขนาด 3 g ต่อวัน มีผลให้ระดับ uric acid ลดลง</t>
  </si>
  <si>
    <t>ยา colchicine จะให้ผลการรักษาที่ดีใน 2 วันแรกของ gout attack</t>
  </si>
  <si>
    <t>พันธุกรรม มีผลต่อการเกิดโรค</t>
  </si>
  <si>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</si>
  <si>
    <t>ข้อ 16 Pharma Plus เล่มม่วง (เฉลยข้อ ข)</t>
  </si>
  <si>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</si>
  <si>
    <t>Indomethacin + colchicine</t>
  </si>
  <si>
    <t>Colchicine + allopurinol</t>
  </si>
  <si>
    <t>Indomethacin + colchicine + allopurinol</t>
  </si>
  <si>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</si>
  <si>
    <t>ข้อ 17 Pharma Plus เล่มม่วง (เฉลยข้อ ก)</t>
  </si>
  <si>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</si>
  <si>
    <t>Acute Gout</t>
  </si>
  <si>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</si>
  <si>
    <t>ข้อ 18 Pharma Plus เล่มม่วง (เฉลยข้อ ค)</t>
  </si>
  <si>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</si>
  <si>
    <t>เกิดจากการมีภาวะกรดยูริกในเลือดสูง และมีผลึก monosodium glutamate ตกตะกอนในข้อ</t>
  </si>
  <si>
    <t>เกิดจากการเสื่อมสภาพของกระดูกอ่อน โดยถูกทำลายจนเกิดการผิดรูปร่างไป</t>
  </si>
  <si>
    <t>เกิดจากการอักเสบเรื้อรังของเนื้อเยื่อไขกระดูกและกระดูกอ่อนถูกทำลาย</t>
  </si>
  <si>
    <t>เกิดจากโรค autoimmune ทำให้มีปุ่ม tophi เกิดขึ้นบริเวณข้ออักเสบ</t>
  </si>
  <si>
    <t>ไม่มีข้อใดถูก</t>
  </si>
  <si>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</si>
  <si>
    <t>ข้อ 19 Pharma Plus เล่มม่วง (เฉลยข้อ จ)</t>
  </si>
  <si>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</si>
  <si>
    <t>Diuretic</t>
  </si>
  <si>
    <t>Salicylates low dose</t>
  </si>
  <si>
    <t>Ethambutol</t>
  </si>
  <si>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</si>
  <si>
    <t>ข้อ 20 Pharma Plus เล่มม่วง (เฉลยข้อ จ)</t>
  </si>
  <si>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</si>
  <si>
    <t>Indomethacin + colchicine+ allopurinol</t>
  </si>
  <si>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</si>
  <si>
    <t>ข้อ 21 Pharma Plus เล่มม่วง (เฉลยข้อ ข)</t>
  </si>
  <si>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</si>
  <si>
    <t>ตับอักเสบ</t>
  </si>
  <si>
    <t>ท้องเสีย</t>
  </si>
  <si>
    <t>ปัสสาวะเป็นสีโค้ก</t>
  </si>
  <si>
    <t>กดการทำงานของไขกระดูก</t>
  </si>
  <si>
    <t>ถูกทุกข้อ</t>
  </si>
  <si>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</si>
  <si>
    <t>ข้อ 22 Pharma Plus เล่มม่วง (เฉลยข้อ จ)</t>
  </si>
  <si>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</si>
  <si>
    <t>NSAIDs</t>
  </si>
  <si>
    <t>Xanthine oxidase inhibitors</t>
  </si>
  <si>
    <t>ถูกทั้งข้อ ค. และ ง.</t>
  </si>
  <si>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</si>
  <si>
    <t>ข้อ 23 Pharma Plus เล่มม่วง (เฉลยข้อ จ)</t>
  </si>
  <si>
    <t>ข้อใดกล่าวผิด</t>
  </si>
  <si>
    <t>Colchicine ออกฤทธิ์ลดการอักเสบของข้อ แต่ไม่มีฤทธิ์ analgesic</t>
  </si>
  <si>
    <t>Allopurinol ออกฤทธิ์ลดการสร้างกรดยูริก โดยยับยั้งเอนไซม์ xanthine oxidase</t>
  </si>
  <si>
    <t>Probenecid ออกฤทธิ์ยับยั้งการดูดกลับของกรดยูริกที่ท่อไต และเพิ่มการขับออกของกรดยูริกทางไตด้วย</t>
  </si>
  <si>
    <t>ข้อ ก. และข้อ ค. กล่าวผิด</t>
  </si>
  <si>
    <t>กล่าวถูกทุกข้อ</t>
  </si>
  <si>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</si>
  <si>
    <t>ข้อ 24 Pharma Plus เล่มม่วง (เฉลยข้อ ก)</t>
  </si>
  <si>
    <t>Mock</t>
  </si>
  <si>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</si>
  <si>
    <t>ยา allopurinol เนื่องจากเป็นยาอันตราย</t>
  </si>
  <si>
    <t>ยา colchicine เนื่องจากเป็นยาอันตราย</t>
  </si>
  <si>
    <t>ยา etoricoxib เนื่องจากเป็นยาควบคุมพิเศษ</t>
  </si>
  <si>
    <t>ยา prednisolone เนื่องจากเป็นยาควบคุมพิเศษ</t>
  </si>
  <si>
    <t>เภสัชกรสามารถจ่ายยาได้ทุกข้อ</t>
  </si>
  <si>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</si>
  <si>
    <t>Gout / Pharmacy Laws &amp; Ethics</t>
  </si>
  <si>
    <t>ข้อ 25 Pharma Plus เล่มม่วง (เฉลยข้อ ง)</t>
  </si>
  <si>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</si>
  <si>
    <t>SLE</t>
  </si>
  <si>
    <t>Tendonitis</t>
  </si>
  <si>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</si>
  <si>
    <t>ข้อ 26 Pharma Plus เล่มม่วง (เฉลยข้อ ข)</t>
  </si>
  <si>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</si>
  <si>
    <t>ALT (SGPT)</t>
  </si>
  <si>
    <t>FBS</t>
  </si>
  <si>
    <t>Hct</t>
  </si>
  <si>
    <t>BUN</t>
  </si>
  <si>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</si>
  <si>
    <t>ข้อ 27 Pharma Plus เล่มม่วง (เฉลยข้อ จ)</t>
  </si>
  <si>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</si>
  <si>
    <t>ASA</t>
  </si>
  <si>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</si>
  <si>
    <t>ข้อ 28 Pharma Plus เล่มม่วง (เฉลยข้อ ก ข)</t>
  </si>
  <si>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</si>
  <si>
    <t>ควบคุมน้ำหนัก</t>
  </si>
  <si>
    <t>ออกกำลังกายอย่างสม่ำเสมอ</t>
  </si>
  <si>
    <t>ควบคุมระดับน้ำตาลในเลือด</t>
  </si>
  <si>
    <t>รับประทานสัตว์ปีกแทนสัตว์ใหญ่</t>
  </si>
  <si>
    <t>หยุดรับประทานเครื่องในอย่างเคร่งครัด</t>
  </si>
  <si>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</si>
  <si>
    <t>ข้อ 29 Pharma Plus เล่มม่วง (เฉลยข้อ จ)</t>
  </si>
  <si>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</si>
  <si>
    <t>Indomethacin 25 mg 1x3 pc</t>
  </si>
  <si>
    <t>Piroxicam 10 mg 1x2 pc</t>
  </si>
  <si>
    <t>Naproxen 500 mg 1x2 pc</t>
  </si>
  <si>
    <t>Ibuprofen 800 mg 1x4 pc</t>
  </si>
  <si>
    <t>Aspirin 500 mg 1x3 pc</t>
  </si>
  <si>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</si>
  <si>
    <t>ข้อ 30 Pharma Plus เล่มม่วง (เฉลยข้อ จ)</t>
  </si>
  <si>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</si>
  <si>
    <t>ยับยั้ง norciceptin</t>
  </si>
  <si>
    <t>Inhibit PG</t>
  </si>
  <si>
    <t>IL-1 receptor antagonists</t>
  </si>
  <si>
    <t>Inhibit INF</t>
  </si>
  <si>
    <t>กด PMN ทำให้ไม่สามารถหลั่งสารอักเสบ</t>
  </si>
  <si>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</si>
  <si>
    <t>ข้อ 31 Pharma Plus เล่มม่วง (เฉลยข้อ จ)</t>
  </si>
  <si>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</si>
  <si>
    <t>HMG-CoA reductase inhibitors</t>
  </si>
  <si>
    <t>Integrase inhibitors</t>
  </si>
  <si>
    <t>DNA gyrase inhibitors</t>
  </si>
  <si>
    <t>Cholinesterase inhibitors</t>
  </si>
  <si>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</si>
  <si>
    <t>ข้อ 32 Pharma Plus เล่มม่วง (เฉลยข้อ ค)</t>
  </si>
  <si>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</si>
  <si>
    <t>ตรีผลา</t>
  </si>
  <si>
    <t>ฟ้าทลายโจร</t>
  </si>
  <si>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</si>
  <si>
    <t>ข้อ 33 Pharma Plus เล่มม่วง (เฉลยข้อ จ)</t>
  </si>
  <si>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</si>
  <si>
    <t>Hydrochlorothiazide induced hyponatremia</t>
  </si>
  <si>
    <t>ระดับยา colchicine ลดลงเนื่องจากเกิดปฏิกิริยากับ hydrochlorothiazide</t>
  </si>
  <si>
    <t>ภาวะแทรกซ้อนจากโรคความดันโลหิตสูง</t>
  </si>
  <si>
    <t>การได้รับยา hydrochlorothiazide</t>
  </si>
  <si>
    <t>การได้รับยา amiloride</t>
  </si>
  <si>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</si>
  <si>
    <t>ข้อ 34 Pharma Plus เล่มม่วง (เฉลยข้อ ง)</t>
  </si>
  <si>
    <t>ข้อใดเป็นอาหารที่ผู้ป่วยไม่ควรได้รับมากที่สุด</t>
  </si>
  <si>
    <t>ต้มยำปลาช่อน</t>
  </si>
  <si>
    <t>หมูแดดเดียว</t>
  </si>
  <si>
    <t>ตับหวาน</t>
  </si>
  <si>
    <t>แกงบวชฟักทอง</t>
  </si>
  <si>
    <t>ปลาหมึกย่าง</t>
  </si>
  <si>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</si>
  <si>
    <t>ข้อ 35 Pharma Plus เล่มม่วง (เฉลยข้อ ค)</t>
  </si>
  <si>
    <t>ข้อใดกล่าวถึง colchicine ถูกต้อง</t>
  </si>
  <si>
    <t>เป็นยาตัวเลือกรองที่ใช้ในการรักษาโรคเกาท์</t>
  </si>
  <si>
    <t>ต้องมีการจำกัดการรับประทานน้ำ</t>
  </si>
  <si>
    <t>ห้ามใช้ในสตรีมีครรภ์เด็ดขาด</t>
  </si>
  <si>
    <t>มีอันตรกิริยากับยากลุ่ม macrolide</t>
  </si>
  <si>
    <t>ไม่ต้องปรับขนาดยาในผู้ป่วยโรคไต</t>
  </si>
  <si>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</si>
  <si>
    <t>ข้อ 36 Pharma Plus เล่มม่วง (เฉลยข้อ ง)</t>
  </si>
  <si>
    <t>ข้อใดเป็นอาการไม่พึงประสงค์จากยา colchicine ที่พบบ่อยที่สุด</t>
  </si>
  <si>
    <t>Ototoxicity</t>
  </si>
  <si>
    <t>Diarrhea</t>
  </si>
  <si>
    <t>Retinopathy</t>
  </si>
  <si>
    <t>Peripheral neuritis</t>
  </si>
  <si>
    <t>Hepatic impairment</t>
  </si>
  <si>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</si>
  <si>
    <t>ข้อ 37 Pharma Plus เล่มม่วง (เฉลยข้อ ข)</t>
  </si>
  <si>
    <t>ข้อใดเป็นกลไกทางเภสัชวิทยาของยา allopurinol</t>
  </si>
  <si>
    <t>ลดการอักเสบ</t>
  </si>
  <si>
    <t>เพิ่มการหลั่ง uric acid</t>
  </si>
  <si>
    <t>ยับยั้ง xanthine oxidase</t>
  </si>
  <si>
    <t>ยับยั้ง macrophage มาบริเวณที่มีการอักเสบ</t>
  </si>
  <si>
    <t>เพิ่มการขับ uric acid</t>
  </si>
  <si>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</si>
  <si>
    <t>ข้อ 38 Pharma Plus เล่มม่วง (เฉลยข้อ ค)</t>
  </si>
  <si>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</si>
  <si>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</si>
  <si>
    <t>ข้อ 39 Pharma Plus เล่มม่วง (เฉลยข้อ ค)</t>
  </si>
  <si>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</si>
  <si>
    <t>รับประทาน paracetamol 3 เม็ด ทุก 4 ชั่วโมง</t>
  </si>
  <si>
    <t>เพิ่มยา muscle relaxant ให้แก่ผู้ป่วย</t>
  </si>
  <si>
    <t>รับประทาน glucosamine ครั้งละ 2 เม็ด วันละ 3 ครั้ง</t>
  </si>
  <si>
    <t>รับประทาน calcium carbonate (1 g) 2 เม็ด ก่อนอาหารเช้า</t>
  </si>
  <si>
    <t>ถูวดเจลพริกบริเวณปวด เพื่อให้ยาดูดซึมได้เยอะ</t>
  </si>
  <si>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</si>
  <si>
    <t>ข้อ 40 Pharma Plus เล่มม่วง (เฉลยข้อ ค)</t>
  </si>
  <si>
    <t>ข้อใดที่เภสัชกรไม่ต้องให้คำแนะนำเรื่องการปฏิบัติตัวเกี่ยวกับโรค osteoarthritis</t>
  </si>
  <si>
    <t>หลีกเลี่ยงนั่งพับเพียบ</t>
  </si>
  <si>
    <t>ลดน้ำหนักตัว</t>
  </si>
  <si>
    <t>หลีกเลี่ยงการยกของหนัก</t>
  </si>
  <si>
    <t>ออกกำลังกายในน้ำ</t>
  </si>
  <si>
    <t>หลีกเลี่ยงการรับประทานยอดผัก</t>
  </si>
  <si>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</si>
  <si>
    <t>ข้อ 41 Pharma Plus เล่มม่วง (เฉลยข้อ จ)</t>
  </si>
  <si>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</si>
  <si>
    <t>40 mg</t>
  </si>
  <si>
    <t>80 mg</t>
  </si>
  <si>
    <t>400 mg</t>
  </si>
  <si>
    <t>800 mg</t>
  </si>
  <si>
    <t>2000 mg</t>
  </si>
  <si>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</si>
  <si>
    <t>Osteoarthritis / Pharmaceutical Calculations</t>
  </si>
  <si>
    <t>ข้อ 42 Pharma Plus เล่มม่วง (เฉลยข้อ ง)</t>
  </si>
  <si>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</si>
  <si>
    <t>ข้อฝืดยามเช้า (morning stiffness) อย่างน้อย 1 ชม.</t>
  </si>
  <si>
    <t>มี nodule ขึ้นบริเวณข้อที่อักเสบ</t>
  </si>
  <si>
    <t>มักเกิดกับข้อใหญ่ๆที่รับน้ำหนักมาก</t>
  </si>
  <si>
    <t>อาจพบนิวตตะกอนที่ไตได้ มีข้อเท้าบวม</t>
  </si>
  <si>
    <t>อาการปวดเกิดขึ้นที่ข้อเดียวกันทั้งสองข้างของร่างกาย</t>
  </si>
  <si>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</si>
  <si>
    <t>ข้อ 43 Pharma Plus เล่มม่วง (เฉลยข้อ ข)</t>
  </si>
  <si>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</si>
  <si>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</si>
  <si>
    <t>ข้อ 44 Pharma Plus เล่มม่วง (เฉลยข้อ ก ข)</t>
  </si>
  <si>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</si>
  <si>
    <t>Meloxicam</t>
  </si>
  <si>
    <t>Nabumetone</t>
  </si>
  <si>
    <t>Loxoprofen</t>
  </si>
  <si>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</si>
  <si>
    <t>ข้อ 45 Pharma Plus เล่มม่วง (เฉลยข้อ ง)</t>
  </si>
  <si>
    <t>การออกกำลังกายประเภทใดที่เหมาะสมสำหรับผู้ป่วยรายนี้</t>
  </si>
  <si>
    <t>เทนนิส</t>
  </si>
  <si>
    <t>รักบี้</t>
  </si>
  <si>
    <t>จ็อกกิ้ง</t>
  </si>
  <si>
    <t>บาสเกตบอล</t>
  </si>
  <si>
    <t>ยิมนาสติก</t>
  </si>
  <si>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</si>
  <si>
    <t>ข้อ 46 Pharma Plus เล่มม่วง (เฉลยข้อ )</t>
  </si>
  <si>
    <t>อาหารประเภทใดที่เหมาะแก่ผู้ป่วยรายนี้</t>
  </si>
  <si>
    <t>ปีกไก่เหล้าแดง</t>
  </si>
  <si>
    <t>ยอดมะพร้าวผัดกุ้ง</t>
  </si>
  <si>
    <t>ซุปหน่อไม้</t>
  </si>
  <si>
    <t>แกงจืดเต้าหู้หมูสับ</t>
  </si>
  <si>
    <t>เกาเหลาเครื่องในหมู</t>
  </si>
  <si>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</si>
  <si>
    <t>ข้อ 47 Pharma Plus เล่มม่วง (เฉลยข้อ ง)</t>
  </si>
  <si>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</si>
  <si>
    <t>Gouty arthritis</t>
  </si>
  <si>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</si>
  <si>
    <t>ข้อ 48 Pharma Plus เล่มม่วง (เฉลยข้อ ค)</t>
  </si>
  <si>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</si>
  <si>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</si>
  <si>
    <t>ข้อ 49 Pharma Plus เล่มม่วง (เฉลยข้อ ก)</t>
  </si>
  <si>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</si>
  <si>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</si>
  <si>
    <t>ข้อ 50 Pharma Plus เล่มม่วง (เฉลยข้อ ค)</t>
  </si>
  <si>
    <t>ยาในข้อใดใช้ชะลอการเสื่อมของกระดูกและข้อ</t>
  </si>
  <si>
    <t>Estrogen</t>
  </si>
  <si>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</si>
  <si>
    <t>ข้อ 51 Pharma Plus เล่มม่วง (เฉลยข้อ ง)</t>
  </si>
  <si>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</si>
  <si>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</si>
  <si>
    <t>ข้อ 52 Pharma Plus เล่มม่วง (เฉลยข้อ ค)</t>
  </si>
  <si>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</si>
  <si>
    <t>รับประทาน Paracetamol 3 เม็ด ทุก 4 ชั่วโมง</t>
  </si>
  <si>
    <t>รับประทาน Glucosamine ครั้งละ 2 เม็ด วันละ 3 ครั้ง</t>
  </si>
  <si>
    <t>รับประทาน Calcium carbonate (1 g) 2 เม็ด ก่อนอาหารเช้า</t>
  </si>
  <si>
    <t>ถูนวดเจลพริกบริเวณปวด เพื่อให้ยาดูดซึมได้เยอะ</t>
  </si>
  <si>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</si>
  <si>
    <t>ข้อ 53 Pharma Plus เล่มม่วง (เฉลยข้อ ค)</t>
  </si>
  <si>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</si>
  <si>
    <t>ข้อ 54 Pharma Plus เล่มม่วง (เฉลยข้อ จ)</t>
  </si>
  <si>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</si>
  <si>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</si>
  <si>
    <t>ข้อ 55 Pharma Plus เล่มม่วง (เฉลยข้อ ก)</t>
  </si>
  <si>
    <t>ข้อใดจัดเป็นยาหรือผลิตภัณฑ์เสริมอาหารในกลุ่มชะลอความเสื่อมสลายของกระดูกอ่อน</t>
  </si>
  <si>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</si>
  <si>
    <t>ข้อ 56 Pharma Plus เล่มม่วง (เฉลยข้อ ก)</t>
  </si>
  <si>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</si>
  <si>
    <t>Raloxifene จัดเป็นยากลุ่ม pure estrogen antagonist ชนิด 2nd generation</t>
  </si>
  <si>
    <t>Raloxifene มีฤทธิ์ estrogenic ที่กระดูก และเมแทบอลิซึมของไขมัน</t>
  </si>
  <si>
    <t>ฤทธิ์ antiestrogenic ของ raloxifene พบที่เต้านมและเยื่อบุโพรงมดลูก</t>
  </si>
  <si>
    <t>Tamoxifen มีฤทธิ์กระตุ้นการเจริญเติบโตของเยื่อบุโพรงมดลูกแตกต่างกับ raloxifene ที่ไม่มีฤทธิ์นี้</t>
  </si>
  <si>
    <t>ไม่ควรใช้ raloxifene ในสตรีที่ยังไม่หมดประจำเดือน</t>
  </si>
  <si>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</si>
  <si>
    <t>ข้อ 57 Pharma Plus เล่มม่วง (เฉลยข้อ ก)</t>
  </si>
  <si>
    <t>ข้อใดต่อไปนี้ไม่ได้อธิบายกลไกการออกฤทธิ์ของ raloxifene ต่อกระดูก</t>
  </si>
  <si>
    <t>Raloxifene มีกลไการออกฤทธิ์ต่อกระดูกคล้าย estrogen</t>
  </si>
  <si>
    <t>เข้าใจว่า raloxifene ออกฤทธิ์โดยเพิ่มการแสดงออกของยีน TGF-3 ซึ่งมีผลต่อจำนวนของเซลล์สลายกระดูก</t>
  </si>
  <si>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</si>
  <si>
    <t>Raloxifene ออกฤทธิ์โดยการจับกับ estrogen receptor แล้วมีผลต่อการแสดงออกของยีน</t>
  </si>
  <si>
    <t>AP-1 pathway เป็น pathway หนึ่งที่ใช้อธิบายการออกฤทธิ์แบบ estrogen agonist ของ raloxifene</t>
  </si>
  <si>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</si>
  <si>
    <t>ข้อ 58 Pharma Plus เล่มม่วง (เฉลยข้อ ข)</t>
  </si>
  <si>
    <t>ข้อใดต่อไปนี้ถูกต้อง</t>
  </si>
  <si>
    <t>ข้อดีของ raloxifene เมื่อเปรียบเทียบกับการใช้ HRT คือ raloxifene ใช้ในคนไข้ที่มีประวัติเป็น/กำลังเป็นโรคหลอดเลือดอุดตันได้</t>
  </si>
  <si>
    <t>ฤทธิ์ข้างเคียงที่อาจพบได้จากการใช้ raloxifene คือ อาการร้อนวูบวาบ เป็นตะคริวที่ขา</t>
  </si>
  <si>
    <t>Raloxifene มีข้อบ่งใช้คือ ใช้ป้องกันและรักษาโรคกระดูกพรุนในผู้หญิงหมดประจำเดือนและโรคกระดูกพรุนจากการใช้ corticosteroids</t>
  </si>
  <si>
    <t>ให้รับประทาน raloxifene ตอนท้องว่าง เพื่อไม่ให้การดูดซึมถูกรบกวนจากอาหาร</t>
  </si>
  <si>
    <t>Raloxifene มีผลเพิ่ม BMD และลดอุบัติการณ์ของการเกิด vertebral &amp; hip fractures ได้อย่างชัดเจนคล้ายกับ estrogen</t>
  </si>
  <si>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</si>
  <si>
    <t>ข้อ 59 Pharma Plus เล่มม่วง (เฉลยข้อ ข)</t>
  </si>
  <si>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</si>
  <si>
    <t>ให้รับประทาน alendronate ตอนท้องว่าง เช่น ตื่นนอนตอนเช้ายังไม่ได้ทาน/ดื่ม อะไร หรือ สองชั่วโมงก่อนหรือหลังรับประทานอาหาร</t>
  </si>
  <si>
    <t>รับประทานกับน้ำเปล่าเท่านั้น ห้ามรับประทานร่วมกับผลไม้ นม หรือ เครื่องดื่ม ใดๆนอกจากน้ำเปล่า</t>
  </si>
  <si>
    <t>ไม่เอนตัวหรือนอนขณะรับประทานยา หรือหลังรับประทานยาไม่เกิน 30 นาที</t>
  </si>
  <si>
    <t>ให้รับประทาน alendronate และยาเม็ดแคลเซียมพร้อม ๆ กัน</t>
  </si>
  <si>
    <t>ถ้ามีอาการกลืนอาหารลำบาก ปวดท้อง ให้กลับไปพบแพทย์</t>
  </si>
  <si>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</si>
  <si>
    <t>ข้อ 60 Pharma Plus เล่มม่วง (เฉลยข้อ ง)</t>
  </si>
  <si>
    <t>ข้อใดต่อไปนี้ไม่ถูกต้อง</t>
  </si>
  <si>
    <t>Alendronate จัดเป็นกลุ่มยาในกลุ่ม 2nd generation bisphosphonates ที่มีความแรงน้อยกว่า risedronate ซึ่งเป็น 3rd generation bisphosphonates</t>
  </si>
  <si>
    <t>ในรายที่มี severe osteoporosis เมื่อใช้ HRT แล้ว BMD เพิ่มขึ้นน้อยมาก อาจให้ร่วมกับ bisphosphonates ตัวใดตัวหนึ่ง จะช่วยเพิ่ม BMD เพิ่มมากขึ้น</t>
  </si>
  <si>
    <t>ยาในกลุ่ม bisphosphonates ที่มีข้อบ่งใช้ในการป้องกันและรักษา osteoporosis ปัจจุบันที่ใช้อยู่มี 2 ตัว คือ alendronate และ risedronate</t>
  </si>
  <si>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</si>
  <si>
    <t>bisphosphonates มีกลไกการออกฤทธิ์คล้ายกับ estrogen คือ เพิ่ม apoptosis ของ Osteoclast โดยการเพิ่ม transcription ของ TGF-β3</t>
  </si>
  <si>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</si>
  <si>
    <t>ข้อ 61 Pharma Plus เล่มม่วง (เฉลยข้อ ก)</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</si>
  <si>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</si>
  <si>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</si>
  <si>
    <t>Myofascial Pain Syndrome</t>
  </si>
  <si>
    <t>ข้อ 1 Mock Musculo RxCU84</t>
  </si>
  <si>
    <t>Mock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</si>
  <si>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</si>
  <si>
    <t>Candesartan</t>
  </si>
  <si>
    <t>Atorvastatin</t>
  </si>
  <si>
    <t>Ticagrelor</t>
  </si>
  <si>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</si>
  <si>
    <t>ข้อ 2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</si>
  <si>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</si>
  <si>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</si>
  <si>
    <t>ข้อ 3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</si>
  <si>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</si>
  <si>
    <t>การฝังเข็ม</t>
  </si>
  <si>
    <t>การประคบเย็น</t>
  </si>
  <si>
    <t>การยกของหนัก</t>
  </si>
  <si>
    <t>การลดน้ำหนัก</t>
  </si>
  <si>
    <t>การใช้ไม้เท้า</t>
  </si>
  <si>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</si>
  <si>
    <t>ข้อ 4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</si>
  <si>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</si>
  <si>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</si>
  <si>
    <t>ข้อ 5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</si>
  <si>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</si>
  <si>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</si>
  <si>
    <t>ข้อ 6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</si>
  <si>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</si>
  <si>
    <t>Ibuprofen เสริมฤทธิ์ต้านเกล็ดเลือดของ aspirin</t>
  </si>
  <si>
    <t>Ibuprofen บดบังฤทธิ์ต้านเกล็ดเลือดของ aspirin</t>
  </si>
  <si>
    <t>ไม่มีอันตรกิริยาต่อกัน</t>
  </si>
  <si>
    <t>ควรให้ ibuprofen ก่อน aspirin 30 นาที</t>
  </si>
  <si>
    <t>ทำให้ต้องลดขนาด ticagrelor</t>
  </si>
  <si>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</si>
  <si>
    <t>ข้อ 7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</si>
  <si>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</si>
  <si>
    <t>เพิ่มขนาด hydrochlorothiazide</t>
  </si>
  <si>
    <t>เพิ่ม low-dose aspirin เพื่อขับกรดยูริก</t>
  </si>
  <si>
    <t>เปลี่ยน hydrochlorothiazide เป็น losartan</t>
  </si>
  <si>
    <t>หยุด candesartan</t>
  </si>
  <si>
    <t>หยุด atorvastatin</t>
  </si>
  <si>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</si>
  <si>
    <t>ข้อ 8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</si>
  <si>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</si>
  <si>
    <t>เป็น full μ-opioid agonist ล้วน</t>
  </si>
  <si>
    <t>ไม่ทำให้ท้องผูก</t>
  </si>
  <si>
    <t>ปลอดภัยในผู้ป่วยลมชัก</t>
  </si>
  <si>
    <t>เป็น weak μ-agonist และยับยั้ง reuptake ของ NE/serotonin</t>
  </si>
  <si>
    <t>ต้องเพิ่มขนาดในผู้ป่วยไตเสื่อม</t>
  </si>
  <si>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</si>
  <si>
    <t>ข้อ 9 Mock Musculo RxCU84</t>
  </si>
  <si>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</si>
  <si>
    <t>เพิ่มความเสี่ยงลิ่มเลือดอุดตันหลอดเลือดหัวใจ</t>
  </si>
  <si>
    <t>ทำให้กรดยูริกในเลือดต่ำลง</t>
  </si>
  <si>
    <t>เสริมฤทธิ์ต้านเกล็ดเลือดจนเลือดออกแน่นอน</t>
  </si>
  <si>
    <t>ลดประสิทธิภาพของ statin</t>
  </si>
  <si>
    <t>ทำให้ ticagrelor เป็นพิษต่อตับ</t>
  </si>
  <si>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</si>
  <si>
    <t>ข้อ 10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</si>
  <si>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</si>
  <si>
    <t>Prednisolone 5 mg OD</t>
  </si>
  <si>
    <t>Naproxen 250 mg TID</t>
  </si>
  <si>
    <t>Tramadol 50 mg hs</t>
  </si>
  <si>
    <t>Etorocoxib 120 mg OD</t>
  </si>
  <si>
    <t>Tolperisone 50 mg TID</t>
  </si>
  <si>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</si>
  <si>
    <t>ข้อ 11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</si>
  <si>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</si>
  <si>
    <t>Cyclophosphamide</t>
  </si>
  <si>
    <t>Mycophenolate</t>
  </si>
  <si>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</si>
  <si>
    <t>ข้อ 12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</si>
  <si>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</si>
  <si>
    <t>Cyclosporine</t>
  </si>
  <si>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</si>
  <si>
    <t>ข้อ 13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</si>
  <si>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</si>
  <si>
    <t>Activated charcoal</t>
  </si>
  <si>
    <t>Cholestyramine</t>
  </si>
  <si>
    <t>N-acetylcysteine</t>
  </si>
  <si>
    <t>Leucovorin</t>
  </si>
  <si>
    <t>Folic acid</t>
  </si>
  <si>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</si>
  <si>
    <t>ข้อ 14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</si>
  <si>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</si>
  <si>
    <t>&lt; 15 นาที</t>
  </si>
  <si>
    <t>&lt; 30 นาที</t>
  </si>
  <si>
    <t>&gt; 1 ชั่วโมง</t>
  </si>
  <si>
    <t>เป็นเฉพาะตอนเย็น</t>
  </si>
  <si>
    <t>ดีขึ้นเมื่ออยู่นิ่งๆ</t>
  </si>
  <si>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</si>
  <si>
    <t>ข้อ 15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</si>
  <si>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</si>
  <si>
    <t>Liver function</t>
  </si>
  <si>
    <t>Kidney function</t>
  </si>
  <si>
    <t>Eye examination (Retinopathy)</t>
  </si>
  <si>
    <t>Hearing test</t>
  </si>
  <si>
    <t>Pulmonary function</t>
  </si>
  <si>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</si>
  <si>
    <t>ข้อ 16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</si>
  <si>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</si>
  <si>
    <t>RA เป็นอสมมาตร (Asymmetric)</t>
  </si>
  <si>
    <t>RA มักโดนข้อ DIP</t>
  </si>
  <si>
    <t>RA เป็นแบบสมมาตร (Symmetric)</t>
  </si>
  <si>
    <t>OA มีอาการทั่วร่างกาย (Systemic)</t>
  </si>
  <si>
    <t>OA ตรวจพบ Rheumatoid factor</t>
  </si>
  <si>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</si>
  <si>
    <t>ข้อ 17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</si>
  <si>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</si>
  <si>
    <t>เน้นย้ำให้รับประทาน Ferrous Fumarate เพื่อป้องกันผลข้างเคียงเรื่องของโลหิตจาง</t>
  </si>
  <si>
    <t>เน้นย้ำให้รับประทานยา Mecobalamin 5 mg ควบคู่กันทุกวัน เพื่อลดผลข้างเคียงทางระบบทางเดินอาหารและแผลในปาก</t>
  </si>
  <si>
    <t>หากมีสารคัดหลั่งหรือปัสสาวะสีส้มให้หยุดยาทันทีแล้วพบแพทย์</t>
  </si>
  <si>
    <t>หากมีสารคัดหลั่งหรือปัสสาวะสีส้มให้รับประทานต่อไป เนื่องจากเป็นผลข้างเคียงจากยาตามปกติที่ไม่มีอันตรายอะไร</t>
  </si>
  <si>
    <t>หากอาการข้อนิ้วบวมและ Morning Stiffness หายแล้วสามารถหยุดยาเองได้เลยทันทีเพื่อป้องกันผลข้างเคียงในระยะยาว</t>
  </si>
  <si>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</si>
  <si>
    <t>ข้อ 18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</si>
  <si>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</si>
  <si>
    <t>Aspirin ขนาดสูง</t>
  </si>
  <si>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</si>
  <si>
    <t>ข้อ 19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</si>
  <si>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</si>
  <si>
    <t>ปากแหว่งเพดานโหว่</t>
  </si>
  <si>
    <t>น้ำตาลในเลือดต่ำในทารก</t>
  </si>
  <si>
    <t>ductus arteriosus ปิดก่อนกำหนด และน้ำคร่ำน้อย</t>
  </si>
  <si>
    <t>หัวใจพิการแต่กำเนิด</t>
  </si>
  <si>
    <t>ภาวะตัวเหลืองในทารก</t>
  </si>
  <si>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</si>
  <si>
    <t>ข้อ 20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</si>
  <si>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</si>
  <si>
    <t>Tofacitinib</t>
  </si>
  <si>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</si>
  <si>
    <t>ข้อ 21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</si>
  <si>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</si>
  <si>
    <t>เป็นสารก่อวิรูป ห้ามใช้ในครรภ์</t>
  </si>
  <si>
    <t>ปลอดภัยในไตรมาส 2–3</t>
  </si>
  <si>
    <t>ใช้ต่อได้หากให้ folic acid สูง</t>
  </si>
  <si>
    <t>เป็นยาหลักในหญิงตั้งครรภ์</t>
  </si>
  <si>
    <t>ไม่ผ่านรก</t>
  </si>
  <si>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</si>
  <si>
    <t>ข้อ 22 Mock Musculo RxCU84</t>
  </si>
  <si>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</si>
  <si>
    <t>ปวดเมื่อใช้งาน ดีขึ้นเมื่อพัก</t>
  </si>
  <si>
    <t>ข้อฝืดตอนเช้าน้อยกว่า 30 นาที</t>
  </si>
  <si>
    <t>คลำได้เสียงกรอบแกรบในข้อ</t>
  </si>
  <si>
    <t>มักเกิดที่ข้อปลายนิ้ว (DIP)</t>
  </si>
  <si>
    <t>ข้อฝืดตอนเช้ามากกว่า 1 ชั่วโมง ร่วมกับข้ออักเสบสมมาตร</t>
  </si>
  <si>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</si>
  <si>
    <t>ข้อ 23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</si>
  <si>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</si>
  <si>
    <t>Sulfinpyrazone</t>
  </si>
  <si>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</si>
  <si>
    <t>Gout &amp; Hyperuricemia</t>
  </si>
  <si>
    <t>ข้อ 24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</si>
  <si>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</si>
  <si>
    <t>1.2 mg OD</t>
  </si>
  <si>
    <t>0.6 mg tid</t>
  </si>
  <si>
    <t>1.2 mg ทันที ตามด้วย 0.6 mg ใน 1 ชม.</t>
  </si>
  <si>
    <t>0.6 mg ทุก 2 ชม. จนกว่าจะท้องเสีย</t>
  </si>
  <si>
    <t>1.2 mg ทันที ตามด้วย 1.2 mg ใน 1 ชม. เฉลย</t>
  </si>
  <si>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</si>
  <si>
    <t>ข้อ 25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</si>
  <si>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</si>
  <si>
    <t>Losartan</t>
  </si>
  <si>
    <t>Enalapril</t>
  </si>
  <si>
    <t>Diltiazem</t>
  </si>
  <si>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</si>
  <si>
    <t>ข้อ 26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</si>
  <si>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</si>
  <si>
    <t>ข้าวสวย</t>
  </si>
  <si>
    <t>ไข่ไก่</t>
  </si>
  <si>
    <t>เครื่องในสัตว์และเบียร์</t>
  </si>
  <si>
    <t>นมวัว</t>
  </si>
  <si>
    <t>ผลไม้</t>
  </si>
  <si>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</si>
  <si>
    <t>ข้อ 27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</si>
  <si>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</si>
  <si>
    <t>&lt; 4 mg/dL</t>
  </si>
  <si>
    <t>&lt; 5 mg/dL</t>
  </si>
  <si>
    <t>&lt; 6 mg/dL</t>
  </si>
  <si>
    <t>&lt; 7 mg/dL</t>
  </si>
  <si>
    <t>&lt; 8 mg/dL</t>
  </si>
  <si>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</si>
  <si>
    <t>ข้อ 28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</si>
  <si>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</si>
  <si>
    <t>HLA-B57:01</t>
  </si>
  <si>
    <t>CYP2C9</t>
  </si>
  <si>
    <t>DPYD</t>
  </si>
  <si>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</si>
  <si>
    <t>ข้อ 29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</si>
  <si>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</si>
  <si>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</si>
  <si>
    <t>ข้อ 30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</si>
  <si>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</si>
  <si>
    <t>Colchicine 0.6 mg/day นาน 3-6 เดือน</t>
  </si>
  <si>
    <t>Prednisolone นาน 1 ปี</t>
  </si>
  <si>
    <t>Aspirin 81 mg</t>
  </si>
  <si>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</si>
  <si>
    <t>ข้อ 31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</si>
  <si>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</si>
  <si>
    <t>ยับยั้ง COX-2</t>
  </si>
  <si>
    <t>ยับยั้ง Xanthine oxidase</t>
  </si>
  <si>
    <t>ขัดขวาง Microtubule polymerization ลดการเคลื่อนที่ของ Neutrophil</t>
  </si>
  <si>
    <t>เพิ่มการขับ Uric acid</t>
  </si>
  <si>
    <t>ยับยั้ง URAT1</t>
  </si>
  <si>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</si>
  <si>
    <t>ข้อ 32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</si>
  <si>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</si>
  <si>
    <t>Gemfibrozil</t>
  </si>
  <si>
    <t>Ezetimibe</t>
  </si>
  <si>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</si>
  <si>
    <t>ข้อ 33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</si>
  <si>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</si>
  <si>
    <t>ควบคุมอาหารและออกกำลังกายเพื่อลดน้ำหนักตัว โดยตั้งเป้าหมายให้ดัชนีมวลกาย (BMI) ลดลงต่ำกว่า 30 kg/m2</t>
  </si>
  <si>
    <t>ลดหรือหลีกเลี่ยงการดื่มเครื่องดื่มแอลกอฮอล์ทุกชนิด</t>
  </si>
  <si>
    <t>หลีกเลี่ยงการรับประทานอาหารที่มีสารพิวรีนสูง เช่น สัตว์ปีก เครื่องในสัตว์ และยอดผัก</t>
  </si>
  <si>
    <t>ดื่มน้ำสะอาดในปริมาณที่เหมาะสมอย่างน้อย 2–3 ลิตรต่อวัน เพื่อช่วยขับกรดยูริกออกทางไต</t>
  </si>
  <si>
    <t>ถูกต้องทุกข้อที่กล่าวมา</t>
  </si>
  <si>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</si>
  <si>
    <t>ข้อ 34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</si>
  <si>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</si>
  <si>
    <t>เริ่ม allopurinol ทันที</t>
  </si>
  <si>
    <t>ให้ probenecid เร่งขับกรดยูริก</t>
  </si>
  <si>
    <t>ให้ colchicine/NSAIDs/steroid ยังไม่เริ่มยาลดกรดยูริก</t>
  </si>
  <si>
    <t>ให้ paracetamol เดี่ยว ๆ</t>
  </si>
  <si>
    <t>งดยาทุกชนิดรอหายเอง</t>
  </si>
  <si>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</si>
  <si>
    <t>ข้อ 35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</si>
  <si>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</si>
  <si>
    <t>0.6 mg วันละครั้งเท่านั้น</t>
  </si>
  <si>
    <t>1.0 mg แล้ว 0.5 mg ทุกชั่วโมงจนท้องเสีย</t>
  </si>
  <si>
    <t>2.4 mg ครั้งเดียว</t>
  </si>
  <si>
    <t>1.2 mg ทันที แล้ว 0.6 mg อีก 1 ชม. ต่อด้วย 0.5–0.6 mg ทุก 8–12 ชม.</t>
  </si>
  <si>
    <t>1.2 mg ทุก 2 ชม. รวม 6 ครั้ง</t>
  </si>
  <si>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</si>
  <si>
    <t>ข้อ 36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</si>
  <si>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</si>
  <si>
    <t>คง losartan ไว้เพราะช่วยขับกรดยูริก</t>
  </si>
  <si>
    <t>เปลี่ยน losartan เป็น hydrochlorothiazide</t>
  </si>
  <si>
    <t>เพิ่ม bisoprolol เพื่อลดกรดยูริก</t>
  </si>
  <si>
    <t>เพิ่ม low-dose aspirin</t>
  </si>
  <si>
    <t>หยุด losartan เพราะเพิ่มกรดยูริก</t>
  </si>
  <si>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</si>
  <si>
    <t>ข้อ 37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</si>
  <si>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</si>
  <si>
    <t>G6PD</t>
  </si>
  <si>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</si>
  <si>
    <t>ข้อ 38 Mock Musculo RxCU84</t>
  </si>
  <si>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</si>
  <si>
    <t>น้อยกว่า 4 mg/dL</t>
  </si>
  <si>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</si>
  <si>
    <t>ข้อ 39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</si>
  <si>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</si>
  <si>
    <t>Oral Paracetamol</t>
  </si>
  <si>
    <t>Topical NSAIDs</t>
  </si>
  <si>
    <t>Oral Glucosamine</t>
  </si>
  <si>
    <t>IA Steroid</t>
  </si>
  <si>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</si>
  <si>
    <t>ข้อ 40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</si>
  <si>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</si>
  <si>
    <t>OA เป็น Autoimmune</t>
  </si>
  <si>
    <t>OA เกิดจากการสึกหรอของกระดูกอ่อน (Cartilage degradation)</t>
  </si>
  <si>
    <t>OA มี Systemic symptom</t>
  </si>
  <si>
    <t>OA ค่า ESR พุ่งสูง</t>
  </si>
  <si>
    <t>OA มักโดนข้อข้อมือ</t>
  </si>
  <si>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</si>
  <si>
    <t>ข้อ 41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</si>
  <si>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</si>
  <si>
    <t>ว่ายน้ำและลดน้ำหนัก</t>
  </si>
  <si>
    <t>วิ่งมาราธอน</t>
  </si>
  <si>
    <t>การใส่สนับเข่าตลอดเวลา</t>
  </si>
  <si>
    <t>การทานคอลลาเจน</t>
  </si>
  <si>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</si>
  <si>
    <t>ข้อ 42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</si>
  <si>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</si>
  <si>
    <t>ข้อบวมแดง</t>
  </si>
  <si>
    <t>ข้อผิดรูปเบี้ยว</t>
  </si>
  <si>
    <t>เสียงดังกรอบแกรบขณะขยับข้อ</t>
  </si>
  <si>
    <t>การขยับข้อไม่ได้เลย</t>
  </si>
  <si>
    <t>กล้ามเนื้อลีบ</t>
  </si>
  <si>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</si>
  <si>
    <t>ข้อ 43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</si>
  <si>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</si>
  <si>
    <t>Ibuprofen dose สูง</t>
  </si>
  <si>
    <t>COX-2 inhibitor + PPI</t>
  </si>
  <si>
    <t>Naproxen เดี่ยวๆ</t>
  </si>
  <si>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</si>
  <si>
    <t>ข้อ 44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</si>
  <si>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</si>
  <si>
    <t>ยับยั้ง COX</t>
  </si>
  <si>
    <t>Depletion ของ Substance P จากปลายประสาท</t>
  </si>
  <si>
    <t>ยับยั้ง Mu-receptor</t>
  </si>
  <si>
    <t>ขยายหลอดเลือดลดอักเสบ</t>
  </si>
  <si>
    <t>ให้ความเย็นชา</t>
  </si>
  <si>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</si>
  <si>
    <t>ข้อ 45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</si>
  <si>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</si>
  <si>
    <t>Hyaluronic acid และ Proteoglycan</t>
  </si>
  <si>
    <t>Calcium</t>
  </si>
  <si>
    <t>Vitamin D</t>
  </si>
  <si>
    <t>Fibrin</t>
  </si>
  <si>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</si>
  <si>
    <t>ข้อ 46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</si>
  <si>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</si>
  <si>
    <t>ห้ามฉีดเกินปีละ 1 ครั้ง</t>
  </si>
  <si>
    <t>ให้ผลลดปวดเพียงระยะสั้น (Short-term) ไม่ชะลอโรค</t>
  </si>
  <si>
    <t>ทำให้กระดูกงอก</t>
  </si>
  <si>
    <t>ลดปวดถาวร</t>
  </si>
  <si>
    <t>ใช้เป็น First-line เสมอ</t>
  </si>
  <si>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</si>
  <si>
    <t>ข้อ 47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</si>
  <si>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</si>
  <si>
    <t>Duloxetine หรือ Tramadol</t>
  </si>
  <si>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</si>
  <si>
    <t>ข้อ 48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</si>
  <si>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</si>
  <si>
    <t>แนะนำอย่างยิ่งให้ใช้ทุกราย</t>
  </si>
  <si>
    <t>ไม่แนะนำให้ใช้ (Strongly against) หรือแนะนำอย่างมีเงื่อนไขว่าอาจใช้ใน OA Knee</t>
  </si>
  <si>
    <t>แทนที่ NSAID ได้เลย</t>
  </si>
  <si>
    <t>ใช้รักษา RA ได้</t>
  </si>
  <si>
    <t>ใช้ป้องกันกระดูกหัก</t>
  </si>
  <si>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</si>
  <si>
    <t>ข้อ 49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</si>
  <si>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</si>
  <si>
    <t>Intra-articular hyaluronic acid</t>
  </si>
  <si>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</si>
  <si>
    <t>ข้อ 50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</si>
  <si>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</si>
  <si>
    <t>Naloxone</t>
  </si>
  <si>
    <t>Flumazenil</t>
  </si>
  <si>
    <t>Vitamin K</t>
  </si>
  <si>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</si>
  <si>
    <t>ข้อ 51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</si>
  <si>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</si>
  <si>
    <t>Duloxetine</t>
  </si>
  <si>
    <t>Prednisolone ระยะยาว</t>
  </si>
  <si>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</si>
  <si>
    <t>ข้อ 52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</si>
  <si>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</si>
  <si>
    <t>ยับยั้งเอนไซม์ cyclooxygenase</t>
  </si>
  <si>
    <t>กระตุ้น TRPV1 ทำให้ substance P พร่องลง</t>
  </si>
  <si>
    <t>ต้านตัวรับ μ-opioid</t>
  </si>
  <si>
    <t>ยับยั้งการเก็บกลับ serotonin</t>
  </si>
  <si>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</si>
  <si>
    <t>ข้อ 53 Mock Musculo RxCU84</t>
  </si>
  <si>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</si>
  <si>
    <t>ใช้แทน NSAIDs ได้</t>
  </si>
  <si>
    <t>ใช้รักษา RA</t>
  </si>
  <si>
    <t>ไม่แนะนำให้ใช้</t>
  </si>
  <si>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</si>
  <si>
    <t>ข้อ 54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</si>
  <si>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</si>
  <si>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</si>
  <si>
    <t>ข้อ 55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</si>
  <si>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</si>
  <si>
    <t>กินหลังอาหารทันที</t>
  </si>
  <si>
    <t>กินก่อนนอน</t>
  </si>
  <si>
    <t>กินตอนเช้าขณะท้องว่าง ดื่มน้ำเปล่าเต็มแก้ว และตั้งตรง 30 นาที</t>
  </si>
  <si>
    <t>เคี้ยวให้ละเอียดก่อนกลืน</t>
  </si>
  <si>
    <t>กินพร้อมนม</t>
  </si>
  <si>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</si>
  <si>
    <t>ข้อ 56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</si>
  <si>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</si>
  <si>
    <t>Ca 500 mg, Vit D 400 IU</t>
  </si>
  <si>
    <t>Ca 1200 mg, Vit D 800-1000 IU</t>
  </si>
  <si>
    <t>Ca 2000 mg, Vit D 2000 IU</t>
  </si>
  <si>
    <t>Ca 800 mg, Vit D 400 IU</t>
  </si>
  <si>
    <t>Ca 1500 mg, Vit D 400 IU</t>
  </si>
  <si>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</si>
  <si>
    <t>ข้อ 57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</si>
  <si>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</si>
  <si>
    <t>กระตุ้น Osteoblast</t>
  </si>
  <si>
    <t>ยับยั้ง RANKL</t>
  </si>
  <si>
    <t>ยับยั้งการทำงานของ Osteoclast ชักนำให้เกิด Apoptosis</t>
  </si>
  <si>
    <t>เป็นฮอร์โมนทดแทน</t>
  </si>
  <si>
    <t>จับกับแคลเซียมในลำไส้ เฉลย</t>
  </si>
  <si>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</si>
  <si>
    <t>ข้อ 58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</si>
  <si>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</si>
  <si>
    <t>ยับยั้ง Osteoclast โดยตรง</t>
  </si>
  <si>
    <t>เป็น Monoclonal antibody ต่อ RANKL</t>
  </si>
  <si>
    <t>กระตุ้น PTH receptor</t>
  </si>
  <si>
    <t>SERM</t>
  </si>
  <si>
    <t>แคลเซียมสังเคราะห์</t>
  </si>
  <si>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</si>
  <si>
    <t>ข้อ 59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</si>
  <si>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</si>
  <si>
    <t>ผู้ป่วยมีภาวะความดันสูง</t>
  </si>
  <si>
    <t>ผู้ป่วยมีประวัติมะเร็ง (NSCLC) อาจเสี่ยงต่อ Osteosarcoma หรือ Bone mets</t>
  </si>
  <si>
    <t>ผู้ป่วยเป็นเบาหวาน</t>
  </si>
  <si>
    <t>ผู้ป่วยไม่มีกระดูกหัก</t>
  </si>
  <si>
    <t>ยาราคาแพง</t>
  </si>
  <si>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</si>
  <si>
    <t>ข้อ 60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</si>
  <si>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</si>
  <si>
    <t>ป้องกันได้เฉพาะ Vertebral fracture และมีประวัติมะเร็ง/อาจเสี่ยง VTE</t>
  </si>
  <si>
    <t>ทำให้มวลกระดูกลดลง</t>
  </si>
  <si>
    <t>ระคายเคืองกระเพาะอาหาร</t>
  </si>
  <si>
    <t>ต้องฉีดเข้าเส้น</t>
  </si>
  <si>
    <t>ห้ามใช้ในคนแก่</t>
  </si>
  <si>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</si>
  <si>
    <t>ข้อ 61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</si>
  <si>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</si>
  <si>
    <t>1 ปี</t>
  </si>
  <si>
    <t>3-5 ปี</t>
  </si>
  <si>
    <t>10 ปี</t>
  </si>
  <si>
    <t>ตลอดชีวิต</t>
  </si>
  <si>
    <t>6 เดือน</t>
  </si>
  <si>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</si>
  <si>
    <t>ข้อ 62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</si>
  <si>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</si>
  <si>
    <t>T-score ≤ -1.0</t>
  </si>
  <si>
    <t>T-score ≤ -2.0</t>
  </si>
  <si>
    <t>T-score ≤ -2.5</t>
  </si>
  <si>
    <t>T-score &gt; -1.0</t>
  </si>
  <si>
    <t>T-score = 0</t>
  </si>
  <si>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</si>
  <si>
    <t>ข้อ 63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</si>
  <si>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</si>
  <si>
    <t>SJS/TEN</t>
  </si>
  <si>
    <t>Osteonecrosis of the jaw (ONJ) และ Atypical femur fracture (AFF)</t>
  </si>
  <si>
    <t>รังไข่ฝ่อ</t>
  </si>
  <si>
    <t>เลือดออกในสมอง</t>
  </si>
  <si>
    <t>ไตวายเฉียบพลัน</t>
  </si>
  <si>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</si>
  <si>
    <t>ข้อ 64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</si>
  <si>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</si>
  <si>
    <t>Calcium เดี่ยว ๆ</t>
  </si>
  <si>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</si>
  <si>
    <t>ข้อ 65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</si>
  <si>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</si>
  <si>
    <t>มีประวัติมะเร็ง เสี่ยง osteosarcoma</t>
  </si>
  <si>
    <t>ยาราคาถูก</t>
  </si>
  <si>
    <t>การทำงานของไตปกติ</t>
  </si>
  <si>
    <t>ไม่มีกระดูกหัก</t>
  </si>
  <si>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</si>
  <si>
    <t>ข้อ 66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</si>
  <si>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</si>
  <si>
    <t>NSAIDs ขนาดสูงต่อเนื่องเป็นหลัก</t>
  </si>
  <si>
    <t>Opioid ตามบันได WHO ร่วมกับ paracetamol เลี่ยง NSAIDs</t>
  </si>
  <si>
    <t>งดยาแก้ปวดทุกชนิด</t>
  </si>
  <si>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</si>
  <si>
    <t>ข้อ 67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</si>
  <si>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</si>
  <si>
    <t>เพิ่มระดับแคลเซียมในเลือด</t>
  </si>
  <si>
    <t>กระตุ้นการทำงานของ osteoclast</t>
  </si>
  <si>
    <t>เป็นยาหลักระยะยาวแทน bisphosphonate</t>
  </si>
  <si>
    <t>ไม่มีฤทธิ์ลดปวด</t>
  </si>
  <si>
    <t>ช่วยลดปวดระยะสั้นจากกระดูกสันหลังยุบ</t>
  </si>
  <si>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</si>
  <si>
    <t>ข้อ 68 Mock Musculo RxCU84</t>
  </si>
  <si>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</si>
  <si>
    <t>หัวใจเต้นผิดจังหวะ</t>
  </si>
  <si>
    <t>Osteonecrosis of the jaw และ atypical femur fracture</t>
  </si>
  <si>
    <t>ต้อกระจก</t>
  </si>
  <si>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</si>
  <si>
    <t>ข้อ 69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</si>
  <si>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</si>
  <si>
    <t>การคำนวณยา Infliximab ต่อน้ำหนักตัวผิดพลาด</t>
  </si>
  <si>
    <t>สั่ง MTX กินทุกวันแทนที่จะเป็นสัปดาห์ละครั้ง</t>
  </si>
  <si>
    <t>ให้ Folic acid ที่มีขนาดน้อยเกินไป</t>
  </si>
  <si>
    <t>การที่ Prednisolone ให้รับประทานหลังอาหารทำให้ยาดูดซึมไม่ดี</t>
  </si>
  <si>
    <t>การบริหาร NSS 0.9% มีอัตราเร็วจนเกินไป ก่อให้เกิดอาการบวมน้ำ</t>
  </si>
  <si>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</si>
  <si>
    <t>ข้อ 70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</si>
  <si>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</si>
  <si>
    <t>CBC ที่ต่ำเกินไป</t>
  </si>
  <si>
    <t>WBC ที่สูงเกินไป</t>
  </si>
  <si>
    <t>ค่า LDL-C ที่สูงขึ้น</t>
  </si>
  <si>
    <t>อาการเวียนศรีษะและหมดสติ</t>
  </si>
  <si>
    <t>ไม่มีข้อใดถูกต้อง</t>
  </si>
  <si>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</si>
  <si>
    <t>ข้อ 71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</si>
  <si>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</si>
  <si>
    <t>ไขกระดูกฝ่อ (Bone marrow suppression)</t>
  </si>
  <si>
    <t>QT Prolongation</t>
  </si>
  <si>
    <t>ผมร่วงอย่างรุนแรง</t>
  </si>
  <si>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</si>
  <si>
    <t>ข้อ 72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</si>
  <si>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</si>
  <si>
    <t>Leucovorin (Folinic acid)</t>
  </si>
  <si>
    <t>Protamine sulfate</t>
  </si>
  <si>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</si>
  <si>
    <t>ข้อ 73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</si>
  <si>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</si>
  <si>
    <t>เพิ่มฤทธิ์ยา MTX</t>
  </si>
  <si>
    <t>ลดการเกิดไขกระดูกฝ่อ</t>
  </si>
  <si>
    <t>ลดผลข้างเคียงทางระบบทางเดินอาหารและแผลในปาก (GI/Mucositis)</t>
  </si>
  <si>
    <t>บำรุงครรภ์</t>
  </si>
  <si>
    <t>ป้องกันตับวาย</t>
  </si>
  <si>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</si>
  <si>
    <t>ข้อ 74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</si>
  <si>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</si>
  <si>
    <t>ยับยั้ง Dihydrofolate reductase (DHFR)</t>
  </si>
  <si>
    <t>ยับยั้ง TNF-alpha</t>
  </si>
  <si>
    <t>ยับยั้ง CD20</t>
  </si>
  <si>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</si>
  <si>
    <t>ข้อ 75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</si>
  <si>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</si>
  <si>
    <t>HIV</t>
  </si>
  <si>
    <t>Syphilis</t>
  </si>
  <si>
    <t>Tuberculosis (TB) และ Hepatitis B/C</t>
  </si>
  <si>
    <t>Malaria</t>
  </si>
  <si>
    <t>COVID-19</t>
  </si>
  <si>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</si>
  <si>
    <t>ข้อ 76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</si>
  <si>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</si>
  <si>
    <t>Chimeric Monoclonal Antibody ต่อยับยั้ง TNF-alpha</t>
  </si>
  <si>
    <t>Fully human MAb ต่อ TNF-alpha</t>
  </si>
  <si>
    <t>IL-6 inhibitor</t>
  </si>
  <si>
    <t>CD20 inhibitor</t>
  </si>
  <si>
    <t>JAK inhibitor</t>
  </si>
  <si>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</si>
  <si>
    <t>ข้อ 77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</si>
  <si>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</si>
  <si>
    <t>Hypertension crisis</t>
  </si>
  <si>
    <t>Infusion-related reaction (ไข้ หนาวสั่น ความดันตก)</t>
  </si>
  <si>
    <t>น้ำท่วมปอด</t>
  </si>
  <si>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</si>
  <si>
    <t>ข้อ 78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</si>
  <si>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</si>
  <si>
    <t>วัคซีนเชื้อตาย (Killed vaccine)</t>
  </si>
  <si>
    <t>วัคซีน mRNA</t>
  </si>
  <si>
    <t>วัคซีนเชื้อเป็นอ่อนฤทธิ์ (Live-attenuated vaccines เช่น MMR, Varicella)</t>
  </si>
  <si>
    <t>วัคซีนไวรัสตับอักเสบบี</t>
  </si>
  <si>
    <t>Toxoid</t>
  </si>
  <si>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</si>
  <si>
    <t>ข้อ 79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</si>
  <si>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</si>
  <si>
    <t>Osteoporosis, Hyperglycemia, และ Cushing's syndrome</t>
  </si>
  <si>
    <t>Rheumatoid arthritis รุนแรงขึ้น</t>
  </si>
  <si>
    <t>Asthma</t>
  </si>
  <si>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</si>
  <si>
    <t>ข้อ 80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</si>
  <si>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</si>
  <si>
    <t>Prednisolone ไปเกิดอัตรกิริยากับ Inflixumab ทำให้ยา Inflixumab ออกฤทธิ์ได้ไม่เต็มที่</t>
  </si>
  <si>
    <t>Prednisolone เป็นยาลดอักเสบซึ่งออกฤทธิ์เร็ว เพื่อบรรเทาอาการปวดระหว่างรอ MTX ออกฤทธิ์</t>
  </si>
  <si>
    <t>Prednisolone มีผลข้างเคียงทำให้น้ำตาลในเลือดตกได้เนื่องจากมีผลข้างเคียงต่อระบบเผาผลาญ (Metabolic Disorder) จึงต้องให้ในระยะสั้น</t>
  </si>
  <si>
    <t>Prednisolone อาจทำให้ผู้ป่วยมีอาการ Orthostatic hypotension</t>
  </si>
  <si>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</si>
  <si>
    <t>ข้อ 81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</si>
  <si>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</si>
  <si>
    <t>สั่ง methotrexate ให้กินทุกวันแทนสัปดาห์ละครั้ง</t>
  </si>
  <si>
    <t>Folic acid ขนาดสูงเกินไป</t>
  </si>
  <si>
    <t>Rosuvastatin ไม่จำเป็น</t>
  </si>
  <si>
    <t>Candesartan ซ้ำซ้อน</t>
  </si>
  <si>
    <t>คำนวณขนาด infliximab ผิด</t>
  </si>
  <si>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</si>
  <si>
    <t>ข้อ 82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</si>
  <si>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</si>
  <si>
    <t>จอประสาทตาเสื่อม — ตรวจตา</t>
  </si>
  <si>
    <t>กดไขกระดูกและเยื่อบุอักเสบ — ติดตาม CBC และ LFT</t>
  </si>
  <si>
    <t>QT prolongation — ตรวจ ECG</t>
  </si>
  <si>
    <t>นิ่วในไต — ตรวจปัสสาวะ</t>
  </si>
  <si>
    <t>ต่อมไทรอยด์เป็นพิษ — ตรวจ TSH</t>
  </si>
  <si>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</si>
  <si>
    <t>ข้อ 83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</si>
  <si>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</si>
  <si>
    <t>Leucovorin (folinic acid)</t>
  </si>
  <si>
    <t>Folic acid ขนาดสูง</t>
  </si>
  <si>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</si>
  <si>
    <t>ข้อ 84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</si>
  <si>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</si>
  <si>
    <t>เพื่อลดไขมันในเลือด</t>
  </si>
  <si>
    <t>เพื่อรักษาความดันโลหิต</t>
  </si>
  <si>
    <t>เพื่อป้องกันข้ออักเสบเกาต์</t>
  </si>
  <si>
    <t>bridging ต้านการอักเสบระหว่างรอ MTX ออกฤทธิ์</t>
  </si>
  <si>
    <t>เสริมฤทธิ์ infliximab โดยตรง</t>
  </si>
  <si>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</si>
  <si>
    <t>ข้อ 85 Mock Musculo RxCU84</t>
  </si>
  <si>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</si>
  <si>
    <t>Ibuprofen ขนาดสูง</t>
  </si>
  <si>
    <t>Naproxen ขนาดสูงต่อเนื่อง</t>
  </si>
  <si>
    <t>Indomethacin ขนาดสูง</t>
  </si>
  <si>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</si>
  <si>
    <t>ข้อ 86 Mock Musculo RxCU84</t>
  </si>
  <si>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</si>
  <si>
    <t>Non-Steroidal Anti-Inflammatory Drugs (NSAIDs) เช่น Celecoxib, Ibuprofen</t>
  </si>
  <si>
    <t>Topical Capsaicin cream</t>
  </si>
  <si>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</si>
  <si>
    <t>Hypertension &amp; Drug Interactions</t>
  </si>
  <si>
    <t>PLE-CC1 ปี 2566 Day 1 ข้อ 58</t>
  </si>
  <si>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</si>
  <si>
    <t>955 mg</t>
  </si>
  <si>
    <t>1029 mg</t>
  </si>
  <si>
    <t>1194 mg</t>
  </si>
  <si>
    <t>1507 mg</t>
  </si>
  <si>
    <t>1885 mg</t>
  </si>
  <si>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</si>
  <si>
    <t>Cardiovascular / Pharmaceutical Calculations</t>
  </si>
  <si>
    <t>ข้อ 65 (PLE_CC1_2558_Key.md)</t>
  </si>
  <si>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</si>
  <si>
    <t>Naproxen 119</t>
  </si>
  <si>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</si>
  <si>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Hypertension</t>
  </si>
  <si>
    <t>ข้อ 39 (PLE_CC1_Practice_Exam.md)</t>
  </si>
  <si>
    <t>ในทางคลินิก ไม่นิยมใช้ Aspirin เพื่อลดไข้ในเด็กที่ติดเชื้อไวรัสเพราะอาจทำให้เกิดความผิดปกติในข้อใด</t>
  </si>
  <si>
    <t>Airway hypersensitivity</t>
  </si>
  <si>
    <t>GI bleeding</t>
  </si>
  <si>
    <t>Reye’s syndrome</t>
  </si>
  <si>
    <t>Tinnitus 120</t>
  </si>
  <si>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</si>
  <si>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40 (PLE_CC1_Practice_Exam.md)</t>
  </si>
  <si>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</si>
  <si>
    <t>เกิดการเเพ้ได้ ทั้งตำเเหน่งที่1เเละ ตำเเหน่งที่ 2</t>
  </si>
  <si>
    <t>เกิดการเเพ้ได้ที่ตำเเหน่งที่1เท่านั้น</t>
  </si>
  <si>
    <t>เกิดการเเพ้ได้ที่ตำเเหน่งที่2เท่านั้น</t>
  </si>
  <si>
    <t>เกิดการเเพ้ ที่ตำเเน่งที่ 1 เเละตำเเหน่งที่3เท่านั้น</t>
  </si>
  <si>
    <t>ไม่เกิดการเเพ้เเบบ sulfonamide cross hypersensitivity ที่ตำเเหน่งใดเลย</t>
  </si>
  <si>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</si>
  <si>
    <t>ข้อ 25 (PLE_CC1_Practice_Exam.md)</t>
  </si>
  <si>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</si>
  <si>
    <t>10xx</t>
  </si>
  <si>
    <t>1xxx</t>
  </si>
  <si>
    <t>1500</t>
  </si>
  <si>
    <t>1844</t>
  </si>
  <si>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</si>
  <si>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</si>
  <si>
    <t>ข้อ 5 (PLE_CC1_Key_Rx20_UBU.md)</t>
  </si>
  <si>
    <t>ข้อใดเป็นประโยชน์สำคัญของการให้ Vitamin D ร่วมกับ Calcium</t>
  </si>
  <si>
    <t>ช่วยเร่งการสะสม calcium ที่กระดูก</t>
  </si>
  <si>
    <t>ลดการขับออกของ calcium ที่ไต</t>
  </si>
  <si>
    <t>เพิ่มการดูดซึมของ calcium ที่ทางเดินอาหาร</t>
  </si>
  <si>
    <t>ลดการเกิดพิษต่อตับ</t>
  </si>
  <si>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</si>
  <si>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</si>
  <si>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86 (PLE_CC1_Key_Rx20_UBU.md)</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</si>
  <si>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</si>
  <si>
    <t>Prehypertension</t>
  </si>
  <si>
    <t>Stage I</t>
  </si>
  <si>
    <t>Stage II</t>
  </si>
  <si>
    <t>Stage III</t>
  </si>
  <si>
    <t>Normal</t>
  </si>
  <si>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</si>
  <si>
    <t>ข้อ 1 Pharma Plus เล่มม่วง (เฉลยข้อ ค)</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</si>
  <si>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</si>
  <si>
    <t>ให้กินอาหารที่มีโซเดียมสูง</t>
  </si>
  <si>
    <t>กินอาหารที่มีรสเผ็ดจัด</t>
  </si>
  <si>
    <t>กินอาหารจำพวกปลา</t>
  </si>
  <si>
    <t>กินอาหารจำพวกผักและผลไม้</t>
  </si>
  <si>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</si>
  <si>
    <t>ข้อ 2 Pharma Plus เล่มม่วง (เฉลยข้อ ก)</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</si>
  <si>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</si>
  <si>
    <t>Propranolol</t>
  </si>
  <si>
    <t>Valsartan</t>
  </si>
  <si>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</si>
  <si>
    <t>ข้อ 3 Pharma Plus เล่มม่วง (เฉลยข้อ ข)</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</si>
  <si>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</si>
  <si>
    <t>130/80 mmHg</t>
  </si>
  <si>
    <t>120/80 mmHg</t>
  </si>
  <si>
    <t>140/80 mmHg</t>
  </si>
  <si>
    <t>130/85 mmHg</t>
  </si>
  <si>
    <t>140/90 mmHg</t>
  </si>
  <si>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</si>
  <si>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</si>
  <si>
    <t>อาการไอแห้งๆ</t>
  </si>
  <si>
    <t>ผื่นแพ้รุนแรง</t>
  </si>
  <si>
    <t>หัวใจเต้นช้าลง</t>
  </si>
  <si>
    <t>ระดับน้ำตาลในเลือดสูงขึ้น</t>
  </si>
  <si>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</si>
  <si>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</si>
  <si>
    <t>CBC</t>
  </si>
  <si>
    <t>Electrolyte</t>
  </si>
  <si>
    <t>Renal function</t>
  </si>
  <si>
    <t>ข้อ ค และ ง ถูก</t>
  </si>
  <si>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</si>
  <si>
    <t>ผู้ป่วยไปซื้อยา enalapril ที่ร้านขายยา เภสัชกรร้านสามารถจ่ายยานี้ได้หรือไม่</t>
  </si>
  <si>
    <t>จ่ายได้ เพราะเป็นยาอันตราย</t>
  </si>
  <si>
    <t>จ่ายไม่ได้ เพราะเป็นยาควบคุมพิเศษ</t>
  </si>
  <si>
    <t>จ่ายไม่ได้ เพราะเป็นวัตถุออกฤทธิ์ต่อจิตและประสาทประเภท 2</t>
  </si>
  <si>
    <t>จ่ายได้ เพราะเป็นยาบรรจุเสร็จที่ไม่ใช่ยาอันตรายหรือยาควบคุมพิเศษ</t>
  </si>
  <si>
    <t>จ่ายไม่ได้ เพราะเป็นยาเสพติดให้โทษประเภทที่ 3 ต้องมีใบสั่งแพทย์เท่านั้น</t>
  </si>
  <si>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</si>
  <si>
    <t>ข้อ 7 Pharma Plus เล่มม่วง (เฉลยข้อ ก)</t>
  </si>
  <si>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</si>
  <si>
    <t>130 mg/dl</t>
  </si>
  <si>
    <t>140 mg/dl</t>
  </si>
  <si>
    <t>150 mg/dl</t>
  </si>
  <si>
    <t>160 mg/dl</t>
  </si>
  <si>
    <t>170 mg/dl</t>
  </si>
  <si>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</si>
  <si>
    <t>Dyslipidemias</t>
  </si>
  <si>
    <t>ข้อ 8 Pharma Plus เล่มม่วง (เฉลยข้อ จ)</t>
  </si>
  <si>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</si>
  <si>
    <t>บิดาเสียชีวิตด้วย myocardial infarction เมื่ออายุ 53 ปี</t>
  </si>
  <si>
    <t>พี่ชายเสียชีวิตด้วย myocardial infarction เมื่ออายุ 44 ปี</t>
  </si>
  <si>
    <t>ดื่มไวน์ 2 แก้วทุกวัน</t>
  </si>
  <si>
    <t>มีระดับ HDL-C 33 mg/dl</t>
  </si>
  <si>
    <t>ผู้ป่วยเป็นชายอายุ 53 ปี</t>
  </si>
  <si>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</si>
  <si>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</si>
  <si>
    <t>ลดระดับ Total cholesterol</t>
  </si>
  <si>
    <t>เพิ่มระดับ HDL-C</t>
  </si>
  <si>
    <t>ลดระดับ Non-HDL-C</t>
  </si>
  <si>
    <t>ลดระดับ Triglyceride</t>
  </si>
  <si>
    <t>ลดระดับ LDL-C</t>
  </si>
  <si>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</si>
  <si>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</si>
  <si>
    <t>&lt; 100 mg/dl</t>
  </si>
  <si>
    <t>&lt; 130 mg/dl</t>
  </si>
  <si>
    <t>&lt; 160 mg/dl</t>
  </si>
  <si>
    <t>&lt; 190 mg/dl</t>
  </si>
  <si>
    <t>&lt; 200 mg/dl</t>
  </si>
  <si>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</si>
  <si>
    <t>ข้อ 11 Pharma Plus เล่มม่วง (เฉลยข้อ ก)</t>
  </si>
  <si>
    <t>ยาที่คนไข้ควรได้รับเป็นอันดับแรกเพื่อให้ได้ผลตามเป้าหมายตามข้อข้างต้น</t>
  </si>
  <si>
    <t>ยากลุ่ม statin</t>
  </si>
  <si>
    <t>ยากลุ่ม bile acid sequestrants</t>
  </si>
  <si>
    <t>ยากลุ่ม nicotinic acid</t>
  </si>
  <si>
    <t>ยากลุ่ม fibric acid</t>
  </si>
  <si>
    <t>ยากลุ่ม plant sterol</t>
  </si>
  <si>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</si>
  <si>
    <t>ข้อ 12 Pharma Plus เล่มม่วง (เฉลยข้อ ก)</t>
  </si>
  <si>
    <t>ยาในกลุ่ม statin สามารถลดระดับ LDL-C ด้วยกลไกใด</t>
  </si>
  <si>
    <t>ลดการสร้าง LDL-C receptor ที่ตับ</t>
  </si>
  <si>
    <t>ลดการสร้าง cholesterol และเพิ่มจำนวน LDL-C receptor</t>
  </si>
  <si>
    <t>ลด enterohepatic recycling ของ cholesterol</t>
  </si>
  <si>
    <t>ลดการสร้าง VLDL</t>
  </si>
  <si>
    <t>ลดการสร้าง HDL</t>
  </si>
  <si>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</si>
  <si>
    <t>ข้อ 13 Pharma Plus เล่มม่วง (เฉลยข้อ ข)</t>
  </si>
  <si>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</si>
  <si>
    <t>Cohort study, Case controlled study</t>
  </si>
  <si>
    <t>Case report, Cross-sectional study</t>
  </si>
  <si>
    <t>Case controlled study, Cross-sectional study</t>
  </si>
  <si>
    <t>Meta-analysis, Randomized controlled study</t>
  </si>
  <si>
    <t>Cross-sectional study, Randomized controlled study</t>
  </si>
  <si>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</si>
  <si>
    <t>Evidence-Based Medicine</t>
  </si>
  <si>
    <t>ข้อ 14 Pharma Plus เล่มม่วง (เฉลยข้อ ง)</t>
  </si>
  <si>
    <t>จากรูปสูตรโครงสร้างข้อใดถูกต้อง</t>
  </si>
  <si>
    <t>Cholestyramine ลดการดูดซึมยา simvastatin เพราะ simvastatin มี lactone ring ในโครงสร้าง</t>
  </si>
  <si>
    <t>Cholestyramine ลดการดูดซึมยา pravastatin เพราะ pravastatin มี carboxylic acid ในโครงสร้าง</t>
  </si>
  <si>
    <t>Simvastatin ลดการดูดซึมยา cholestyramine</t>
  </si>
  <si>
    <t>Cholestyramine ไม่มีผลต่อการดูดซึมยา simvastatin และ pravastatin</t>
  </si>
  <si>
    <t>Cholestyramine เพิ่มการดูดซึมยา simvastatin และ pravastatin</t>
  </si>
  <si>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</si>
  <si>
    <t>ข้อ 15 Pharma Plus เล่มม่วง (เฉลยข้อ ข)</t>
  </si>
  <si>
    <t>โครงสร้างที่แสดงข้างต้นสัมพันธ์กับการออกฤทธิ์ของยาอย่างไร</t>
  </si>
  <si>
    <t>Pravastatin เป็น pro-drug</t>
  </si>
  <si>
    <t>Simvastatin และ Pravastatin เป็น pro-drug</t>
  </si>
  <si>
    <t>Pravastatin มีโครงสร้างที่ออกฤทธิ์ในร่างกาย 2 โครงสร้าง คือ โครงสร้างที่เกิดการเชื่อมเป็นวง lactone ring และรูปที่เป็น carboxylic acid</t>
  </si>
  <si>
    <t>Simvastatin มีโครงสร้างที่ออกฤทธิ์คือ โครงสร้างที่ lactone ring เปิด</t>
  </si>
  <si>
    <t>Simvastatin และ Pravastatin ไม่เป็น pro-drug</t>
  </si>
  <si>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</si>
  <si>
    <t>ข้อ 16 Pharma Plus เล่มม่วง (เฉลยข้อ ง)</t>
  </si>
  <si>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</si>
  <si>
    <t>เริ่มการรักษาโดยใช้ atorvastatin 40 mg ทุกเย็น และ follow up</t>
  </si>
  <si>
    <t>ผู้ป่วยมีปัจจัยเสี่ยงเพียง 1 ปัจจัย ดังนั้นควรใช้การควบคุมอาหารรักษาต่อไป</t>
  </si>
  <si>
    <t>เริ่มการรักษาโดยใช้ niacin 1 gm BID และ follow up ในอีก 6 เดือน</t>
  </si>
  <si>
    <t>เริ่มการรักษาโดยใช้ cholestyramine 4 gm BID</t>
  </si>
  <si>
    <t>เริ่มการรักษาโดยใช้ gemfibrozil 600 mg BID</t>
  </si>
  <si>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</si>
  <si>
    <t>Coronary artery disease</t>
  </si>
  <si>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</si>
  <si>
    <t>Niacin</t>
  </si>
  <si>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</si>
  <si>
    <t>ข้อ 18 Pharma Plus เล่มม่วง (เฉลยข้อ ก)</t>
  </si>
  <si>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</si>
  <si>
    <t>Atenolol อาการหอบ</t>
  </si>
  <si>
    <t>Ramipril ภาวะ hypokalemia</t>
  </si>
  <si>
    <t>Cholestyramine กล้ามเนื้ออ่อนแรง</t>
  </si>
  <si>
    <t>Gemfibrozil ตามัว (blurred vision)</t>
  </si>
  <si>
    <t>Isosorbide mononitrate ปวดศีรษะ</t>
  </si>
  <si>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</si>
  <si>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</si>
  <si>
    <t>เพิ่ม Heart rate ลดแรงบีบตัวของหัวใจทำให้ cardiac output เพิ่มขึ้น</t>
  </si>
  <si>
    <t>ลด Heart rate ลดแรงบีบตัวของหัวใจทำให้ cardiac output เพิ่มขึ้น</t>
  </si>
  <si>
    <t>ลด Heart rate ลดแรงบีบตัวของหัวใจทำให้ cardiac output ลดลง</t>
  </si>
  <si>
    <t>กระตุ้นการหลั่ง Renin ที่ไต</t>
  </si>
  <si>
    <t>ทำให้เกิด Negative feedback และ compensatory outflow จากระบบประสาทส่วนกลาง</t>
  </si>
  <si>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</si>
  <si>
    <t>ข้อ 20 Pharma Plus เล่มม่วง (เฉลยข้อ ค)</t>
  </si>
  <si>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</si>
  <si>
    <t>รับประทานยาแล้วดื่มน้ำตามมากๆ เวลามีอาการ</t>
  </si>
  <si>
    <t>เคี้ยวยาให้ละเอียดก่อนกลืนเวลามีอาการ</t>
  </si>
  <si>
    <t>เมื่อลืมรับประทานยา ให้รับประทานยาเพิ่มเป็น 2 เม็ดได้</t>
  </si>
  <si>
    <t>เมื่อมีอาการอมยาไว้ใต้ลิ้นจนกว่ายาจะละลายหมดโดยพยายามไม่กลืนน้ำลาย</t>
  </si>
  <si>
    <t>เมื่อมีอาการอมยาไว้ปากระหว่างเหงือกและกระพุ้งแก้มจนยาละลายหมด ไม่กลืนน้ำลาย</t>
  </si>
  <si>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</si>
  <si>
    <t>ข้อ 21 Pharma Plus เล่มม่วง (เฉลยข้อ ง)</t>
  </si>
  <si>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</si>
  <si>
    <t>รับประทานวันละ 2 ครั้ง เช้า-เย็น</t>
  </si>
  <si>
    <t>รับประทานวันละ 2 ครั้ง เช้า-บ่าย (3 โมง)</t>
  </si>
  <si>
    <t>รับประทานวันละ 2 ครั้ง เช้า-ก่อนนอน</t>
  </si>
  <si>
    <t>อมใต้ลิ้น วันละ 2 ครั้ง เช้า-เย็น</t>
  </si>
  <si>
    <t>อมใต้ลิ้น วันละ 2 ครั้ง เช้า-บ่าย (3 โมง)</t>
  </si>
  <si>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</si>
  <si>
    <t>ข้อ 22 Pharma Plus เล่มม่วง (เฉลยข้อ ข)</t>
  </si>
  <si>
    <t>ข้อใดไม่ใช่เหตุผลในการเลือกจ่ายยาคุมชนิด Progestin เพียงตัวเดียว (POPs) แทนการจ่ายยาคุมชนิดฮอร์โมนรวม (COCs)</t>
  </si>
  <si>
    <t>มีภาวะปวดหัวไมเกรนรุนแรง</t>
  </si>
  <si>
    <t>อยู่ระหว่างการให้นมบุตร</t>
  </si>
  <si>
    <t>มีเลือดออกกระปริดกระปรอย</t>
  </si>
  <si>
    <t>มีโรคเกี่ยวกับหลอดเลือดหัวใจ</t>
  </si>
  <si>
    <t>มีอาการคลื่นไส้ อาเจียนจากเอสโตรเจน</t>
  </si>
  <si>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</si>
  <si>
    <t>Contraception &amp; Cardiovascular Risk</t>
  </si>
  <si>
    <t>Mock PLE-CC 1 ข้อ 88</t>
  </si>
  <si>
    <t>Mock RxCU83</t>
  </si>
  <si>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</si>
  <si>
    <t>Isoniazid ส่งผลให้ระดับยา warfarin ลดลง</t>
  </si>
  <si>
    <t>Rifampin ส่งผลให้ระดับยา warfarin ลดลง</t>
  </si>
  <si>
    <t>Pyrazinamide ส่งผลให้ระดับยา warfarin เพิ่มขึ้น</t>
  </si>
  <si>
    <t>Ethambutol ส่งผลให้ระดับยา warfarin ลดลง</t>
  </si>
  <si>
    <t>ยาทุกตัวในสูตรยารักษาวัณโรคไม่ส่งผลต่อระดับยา warfarin</t>
  </si>
  <si>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</si>
  <si>
    <t>Anticoagulation &amp; Arrhythmia</t>
  </si>
  <si>
    <t>Mock PLE-CC 1 ข้อ 97</t>
  </si>
  <si>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</si>
  <si>
    <t>Theophylline</t>
  </si>
  <si>
    <t>Tiotropium</t>
  </si>
  <si>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</si>
  <si>
    <t>Cardiovascular &amp; Pulmonary Pharmacology</t>
  </si>
  <si>
    <t>PLE_CC1_2567_Key ข้อ 2</t>
  </si>
  <si>
    <t>ปี 2567</t>
  </si>
  <si>
    <t>ยาตัวใดต่อไปนี้มีฤทธิ์ยับยั้งผลของ Angiotensin II ได้โดยตรงที่ตัวรับมากที่สุด (Direct Angiotensin II Receptor Blocker)</t>
  </si>
  <si>
    <t>Aliskiren</t>
  </si>
  <si>
    <t>Carvedilol</t>
  </si>
  <si>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</si>
  <si>
    <t>PLE_CC1_2567_Key ข้อ 1</t>
  </si>
  <si>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</si>
  <si>
    <t>กระตุ้น transcription factor SREBP-2 เพื่อเพิ่มการแสดงออกของ LDL receptors บนผิวเซลล์ตับ</t>
  </si>
  <si>
    <t>ยับยั้งการแสดงออกของ LDL receptors บนผิวเซลล์ตับเพื่อลดการดูดกลับไขมัน</t>
  </si>
  <si>
    <t>กระตุ้นเอนไซม์ PCSK9 ให้ทำลาย LDL receptors ในกระแสเลือด</t>
  </si>
  <si>
    <t>ยับยั้งการทำงานของ Lipoprotein lipase (LPL) ที่ผนังหลอดเลือด</t>
  </si>
  <si>
    <t>เพิ่มการสังเคราะห์ Apolipoprotein B-100 ในเซลล์ตับ</t>
  </si>
  <si>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</si>
  <si>
    <t>กลไกการออกฤทธิ์ของยากลุ่ม Statins ที่ส่งผลให้ระดับคอเลสเตอรอลชนิด LDL ในเลือดลดลงคือข้อใด</t>
  </si>
  <si>
    <t>ยับยั้งเอนไซม์ HMG-CoA reductase และเพิ่มจำนวน LDL receptors ที่ตับ</t>
  </si>
  <si>
    <t>5-alpha reductase inhibitor</t>
  </si>
  <si>
    <t>Aldose reductase inhibitor</t>
  </si>
  <si>
    <t>Dihydrofolate reductase inhibitor</t>
  </si>
  <si>
    <t>Dihydropteroate synthase inhibitor</t>
  </si>
  <si>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</si>
  <si>
    <t>PLE_CC1_2567_Key ข้อ 4</t>
  </si>
  <si>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</si>
  <si>
    <t>Rhabdomyolysis</t>
  </si>
  <si>
    <t>Severe Hypotension</t>
  </si>
  <si>
    <t>Hyperkalemia</t>
  </si>
  <si>
    <t>Bradycardia</t>
  </si>
  <si>
    <t>Nausea and Vomiting</t>
  </si>
  <si>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</si>
  <si>
    <t>PLE_CC1_2567_Key ข้อ 5</t>
  </si>
  <si>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</si>
  <si>
    <t>Rosuvastatin</t>
  </si>
  <si>
    <t>Lovastatin</t>
  </si>
  <si>
    <t>Pravastatin</t>
  </si>
  <si>
    <t>Fluvastatin IR</t>
  </si>
  <si>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</si>
  <si>
    <t>PLE_CC1_2567_Key ข้อ 6</t>
  </si>
  <si>
    <t>ในตำรับยาเม็ดหรือสารละลายยาฉีด Edetate disodium (Disodium EDTA) ทำหน้าที่เป็นสารช่วยทางเภสัชกรรม (Excipient) ชนิดใด</t>
  </si>
  <si>
    <t>Buffering agent</t>
  </si>
  <si>
    <t>Chelating agent</t>
  </si>
  <si>
    <t>pH adjustment</t>
  </si>
  <si>
    <t>Tonicity agent</t>
  </si>
  <si>
    <t>Preservative</t>
  </si>
  <si>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</si>
  <si>
    <t>Pharmaceutics &amp; Excipients</t>
  </si>
  <si>
    <t>PLE_CC1_2567_Key ข้อ 7</t>
  </si>
  <si>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</si>
  <si>
    <t>Fentanyl</t>
  </si>
  <si>
    <t>Thiamine</t>
  </si>
  <si>
    <t>Bromocriptine</t>
  </si>
  <si>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</si>
  <si>
    <t>Toxicology &amp; Critical Care</t>
  </si>
  <si>
    <t>PLE_CC1_2567_Key ข้อ 14</t>
  </si>
  <si>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</si>
  <si>
    <t>Docusate sodium</t>
  </si>
  <si>
    <t>Bisacodyl tablet</t>
  </si>
  <si>
    <t>Milk of Magnesia (MOM)</t>
  </si>
  <si>
    <t>Glycerin suppository</t>
  </si>
  <si>
    <t>Psyllium husk</t>
  </si>
  <si>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</si>
  <si>
    <t>Cardiovascular Pharmacology &amp; ADR Management</t>
  </si>
  <si>
    <t>PLE_CC1_2567_Key ข้อ 24</t>
  </si>
  <si>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</si>
  <si>
    <t>Simvastatin 40 mg hs</t>
  </si>
  <si>
    <t>Rosuvastatin 40 mg hs</t>
  </si>
  <si>
    <t>Pravastatin 20 mg hs</t>
  </si>
  <si>
    <t>Atorvastatin 40 mg hs</t>
  </si>
  <si>
    <t>Fluvastatin 20 mg hs</t>
  </si>
  <si>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</si>
  <si>
    <t>Dyslipidemias &amp; Renal Impairment</t>
  </si>
  <si>
    <t>PLE_CC1_2567_Key ข้อ 51</t>
  </si>
  <si>
    <t>ข้อใดเป็นข้อห้ามใช้เด็ดขาด (Absolute Contraindication) ของยากลุ่ม Statins</t>
  </si>
  <si>
    <t>การติดเชื้อในทางเดินปัสสาวะ</t>
  </si>
  <si>
    <t>นิ่วในถุงน้ำดี</t>
  </si>
  <si>
    <t>ภาวะตั้งครรภ์และให้นมบุตร</t>
  </si>
  <si>
    <t>โรคไตเรื้อรัง ระยะ 3a</t>
  </si>
  <si>
    <t>โรคหลอดเลือดสมองขาดเลือด</t>
  </si>
  <si>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</si>
  <si>
    <t>PLE_CC1_2567_Key ข้อ 52</t>
  </si>
  <si>
    <t>ผู้ป่วยโรคเบาหวานร่วมกับความดันโลหิตสูง และมีภาวะโรคไตเรื้อรังระยะ 3a (CKD stage 3a) การปรับขนาดยา Statins ที่เหมาะสมคือข้อใด</t>
  </si>
  <si>
    <t>Atorvastatin สามารถใช้ขนาดยาสูง 40-80 mg/day ได้โดยไม่ต้องปรับขนาดยาตามค่าการทำงานของไต</t>
  </si>
  <si>
    <t>Rosuvastatin สามารถปรับเพิ่มขนาดยาได้สูงสุดถึง 40 mg/day ในผู้ป่วยไตเรื้อรังทุกระยะ</t>
  </si>
  <si>
    <t>ห้ามใช้ยากลุ่ม Statins ทุกชนิดในผู้ป่วยที่มีค่า eGFR &lt; 60 mL/min/1.73 m2</t>
  </si>
  <si>
    <t>ควรเปลี่ยนไปใช้ Gemfibrozil เดี่ยวๆ แทน Statin เพื่อป้องกันพิษต่อไต</t>
  </si>
  <si>
    <t>ต้องลดขนาดยา Atorvastatin ลงครึ่งหนึ่งเสมอเมื่อค่า eGFR ต่ำกว่า 60 mL/min/1.73 m2</t>
  </si>
  <si>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</si>
  <si>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</si>
  <si>
    <t>ระดับการติดนิโคตินต่ำมาก (Low dependence: HSI 0-1)</t>
  </si>
  <si>
    <t>ระดับการติดนิโคตินปานกลาง (Moderate dependence: HSI 2-3)</t>
  </si>
  <si>
    <t>ระดับการติดนิโคตินสูง (High / Heavy dependence: HSI 5-6)</t>
  </si>
  <si>
    <t>ไม่สามารถประเมินได้จากข้อมูลที่มีอยู่</t>
  </si>
  <si>
    <t>ผู้ป่วยไม่มีภาวะติดนิโคตินทางสรีรวิทยา</t>
  </si>
  <si>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</si>
  <si>
    <t>Cardiovascular Risk &amp; Smoking Cessation</t>
  </si>
  <si>
    <t>PLE_CC1_2567_Key ข้อ 55</t>
  </si>
  <si>
    <t>ยาลดความดันโลหิตในข้อใดต่อไปนี้ ส่งผลต่อการขยายหลอดเลือด (Vasodilation) น้อยที่สุด</t>
  </si>
  <si>
    <t>Atenolol</t>
  </si>
  <si>
    <t>Prazosin</t>
  </si>
  <si>
    <t>Hydralazine</t>
  </si>
  <si>
    <t>Sodium Nitroprusside</t>
  </si>
  <si>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</si>
  <si>
    <t>Hypertension Pharmacology</t>
  </si>
  <si>
    <t>PLE_CC1_2567_Key ข้อ 84</t>
  </si>
  <si>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</si>
  <si>
    <t>Rosuvastatin (มีหมู่ Sulfonamide และ Pyrimidine ring ที่จับกับประจุบวกได้ดี)</t>
  </si>
  <si>
    <t>Pitavastatin</t>
  </si>
  <si>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</si>
  <si>
    <t>Dyslipidemias &amp; Drug Interactions</t>
  </si>
  <si>
    <t>PLE_CC1_2567_Key ข้อ 101</t>
  </si>
  <si>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</si>
  <si>
    <t>การใช้ยา Naproxen เป็นเวลานาน</t>
  </si>
  <si>
    <t>อายุมากกว่า 65 ปี</t>
  </si>
  <si>
    <t>ภาวะโรคอ้วน (Obesity)</t>
  </si>
  <si>
    <t>การใช้ยา Aspirin ร่วมด้วยเป็นเวลานาน</t>
  </si>
  <si>
    <t>การติดเชื้อ Helicobacter pylori ในกระเพาะอาหาร</t>
  </si>
  <si>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</si>
  <si>
    <t>Cardiovascular Pharmacology &amp; GI Risk</t>
  </si>
  <si>
    <t>PLE_CC1_2567_Set1_Key ข้อ 8</t>
  </si>
  <si>
    <t>สูตรการกำจัดเชื้อ Helicobacter pylori ที่เหมาะสมเป็นอันดับแรก (First-line Regimen) ในประเทศไทยในปัจจุบันตามแนวทางเวชปฏิบัติแห่งชาติคือสูตรใด</t>
  </si>
  <si>
    <t>Bismuth quadruple therapy (PPI + Bismuth subsalicylate + Metronidazole + Tetracycline) นาน 14 วัน</t>
  </si>
  <si>
    <t>Clarithromycin triple therapy (PPI + Clarithromycin + Amoxicillin) นาน 7 วัน</t>
  </si>
  <si>
    <t>Levofloxacin triple therapy (PPI + Levofloxacin + Amoxicillin) นาน 10 วัน</t>
  </si>
  <si>
    <t>Dual therapy (PPI + Metronidazole) นาน 14 วัน</t>
  </si>
  <si>
    <t>Sequential therapy นาน 5 วัน</t>
  </si>
  <si>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</si>
  <si>
    <t>Cardiovascular &amp; GI Comorbidities</t>
  </si>
  <si>
    <t>PLE_CC1_2567_Set1_Key ข้อ 9</t>
  </si>
  <si>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</si>
  <si>
    <t>Left Ventricular Hypertrophy (LVH) และกล้ามเนื้อหัวใจขาดเลือด</t>
  </si>
  <si>
    <t>Type I Hypersensitivity reaction</t>
  </si>
  <si>
    <t>Type II Cytotoxic reaction</t>
  </si>
  <si>
    <t>Osteoarthritis ของข้อเข่า</t>
  </si>
  <si>
    <t>Acute Appendicitis</t>
  </si>
  <si>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</si>
  <si>
    <t>Hypertension &amp; Target Organ Damage</t>
  </si>
  <si>
    <t>PLE_CC1_2567_Set1_Key ข้อ 83</t>
  </si>
  <si>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</si>
  <si>
    <t>High normal</t>
  </si>
  <si>
    <t>Hypertension Grade 1 (ระดับที่ 1)</t>
  </si>
  <si>
    <t>Hypertension Grade 2 (ระดับที่ 2)</t>
  </si>
  <si>
    <t>Hypertension Grade 3 (ระดับที่ 3)</t>
  </si>
  <si>
    <t>Isolated systolic hypertension</t>
  </si>
  <si>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</si>
  <si>
    <t>PLE-CC1 ปี 2566 Day 1 ข้อ 9</t>
  </si>
  <si>
    <t>ข้อใดกล่าว 'ไม่ถูกต้อง' เกี่ยวกับคุณสมบัติทางเภสัชจลนศาสตร์และเภสัชวิทยาของยา Rosuvastatin</t>
  </si>
  <si>
    <t>มีคุณสมบัติชอบน้ำ (Hydrophilic statin)</t>
  </si>
  <si>
    <t>ถูกเปลี่ยนแปลงสภาพผ่านเอนไซม์ CYP3A4 เป็นหลักในตับ</t>
  </si>
  <si>
    <t>ส่วนใหญ่ขับออกทางอุจจาระและน้ำดีในรูปเดิมที่ไม่เปลี่ยนแปลง</t>
  </si>
  <si>
    <t>ถูกเปลี่ยนแปลงสภาพผ่านเอนไซม์ CYP2C9 เล็กน้อย (ประมาณ 10%)</t>
  </si>
  <si>
    <t>มีค่าครึ่งชีวิตการกำจัดยา (Elimination half-life) ยาวนานประมาณ 19 ชั่วโมง</t>
  </si>
  <si>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</si>
  <si>
    <t>Dyslipidemias Pharmacology</t>
  </si>
  <si>
    <t>PLE-CC1 ปี 2566 Day 1 ข้อ 19</t>
  </si>
  <si>
    <t>ปี 2566</t>
  </si>
  <si>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</si>
  <si>
    <t>Fenofibrate 160 mg OD</t>
  </si>
  <si>
    <t>Gemfibrozil 600 mg BID</t>
  </si>
  <si>
    <t>ปรับเพิ่ม Rosuvastatin เป็น 40 mg OD</t>
  </si>
  <si>
    <t>Spironolactone 25 mg OD</t>
  </si>
  <si>
    <t>Niacin immediate release 1000 mg BID</t>
  </si>
  <si>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</si>
  <si>
    <t>PLE-CC1 ปี 2566 Day 1 ข้อ 20</t>
  </si>
  <si>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</si>
  <si>
    <t>การดื่มแอลกอฮอล์ในปริมาณมากร่วมกับภาวะโรคอ้วน (Obesity)</t>
  </si>
  <si>
    <t>การใช้ยา Metformin 500 mg BID</t>
  </si>
  <si>
    <t>การใช้ยา Rosuvastatin 10 mg OD</t>
  </si>
  <si>
    <t>ระดับ HbA1c 6.9%</t>
  </si>
  <si>
    <t>การรับประทานอาหารที่มีโซเดียมสูง</t>
  </si>
  <si>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</si>
  <si>
    <t>PLE-CC1 ปี 2566 Day 1 ข้อ 43</t>
  </si>
  <si>
    <t>ข้อใดเป็นปัจจัยเสี่ยงสำคัญต่อการเกิดภาวะอาการไม่พึงประสงค์ต่อกล้ามเนื้อจากการใช้ยาลดไขมันกลุ่ม Statins (Statin-Associated Muscle Symptoms; SAMS)</t>
  </si>
  <si>
    <t>อายุมากกว่า 65 ปี และมีภาวะการทำงานของไตหรือตับบกพร่อง</t>
  </si>
  <si>
    <t>การใช้ยา Aspirin ร่วมด้วยในขนาดต่ำ</t>
  </si>
  <si>
    <t>เพศชาย</t>
  </si>
  <si>
    <t>การรับประทานอาหารที่มีไขมันสูงเป็นประจำ</t>
  </si>
  <si>
    <t>ระดับไขมัน HDL-C สูงกว่า 60 mg/dL</t>
  </si>
  <si>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</si>
  <si>
    <t>PLE-CC1 ปี 2566 Day 1 ข้อ 45</t>
  </si>
  <si>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</si>
  <si>
    <t>Serum Uric acid</t>
  </si>
  <si>
    <t>Alanine Aminotransferase (ALT)</t>
  </si>
  <si>
    <t>Lipid profile (LDL-C, TC, TG, HDL-C)</t>
  </si>
  <si>
    <t>Fasting Blood Sugar / HbA1c</t>
  </si>
  <si>
    <t>Creatine Kinase (CK)</t>
  </si>
  <si>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</si>
  <si>
    <t>Dyslipidemias Monitoring</t>
  </si>
  <si>
    <t>PLE-CC1 ปี 2566 Day 1 ข้อ 60</t>
  </si>
  <si>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</si>
  <si>
    <t>ACE Inhibitors (เช่น Enalapril) หรือ ARBs (เช่น Losartan)</t>
  </si>
  <si>
    <t>Dihydropyridine CCBs เดี่ยวๆ (เช่น Amlodipine)</t>
  </si>
  <si>
    <t>Thiazide diuretics เดี่ยวๆ (เช่น HCTZ)</t>
  </si>
  <si>
    <t>Beta-blockers (เช่น Atenolol)</t>
  </si>
  <si>
    <t>Loop diuretics (เช่น Furosemide)</t>
  </si>
  <si>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</si>
  <si>
    <t>Hypertension &amp; Chronic Kidney Disease</t>
  </si>
  <si>
    <t>PLE-CC1 ปี 2566 Day 1 ข้อ 61</t>
  </si>
  <si>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</si>
  <si>
    <t>Serum Creatine Kinase (เมื่อมีอาการปวดกล้ามเนื้อ)</t>
  </si>
  <si>
    <t>Serum Alanine Aminotransferase (ALT)</t>
  </si>
  <si>
    <t>Lipid Panel (TC, TG, HDL-C, LDL-C)</t>
  </si>
  <si>
    <t>Fasting Plasma Glucose (FPG)</t>
  </si>
  <si>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</si>
  <si>
    <t>PLE-CC1 ปี 2566 Day 1 ข้อ 5</t>
  </si>
  <si>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</si>
  <si>
    <t>Hydrolysis ของวงแหวน Lactone ring กลายเป็น Beta-hydroxy acid</t>
  </si>
  <si>
    <t>Oxidation ของวงแหวน Decalin ring ด้วย CYP3A4</t>
  </si>
  <si>
    <t>Glucuronidation ของหมู่ Hydroxyl group</t>
  </si>
  <si>
    <t>Reduction ของหมู่ Carbonyl group</t>
  </si>
  <si>
    <t>Decarboxylation ของสายโซ่ด้านข้าง</t>
  </si>
  <si>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</si>
  <si>
    <t>Medicinal Chemistry &amp; Pharmacokinetics</t>
  </si>
  <si>
    <t>PLE-CC1 ปี 2566 Day 2 ข้อ 83</t>
  </si>
  <si>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</si>
  <si>
    <t>Clopidogrel 75 mg OD</t>
  </si>
  <si>
    <t>Prasugrel 10 mg OD</t>
  </si>
  <si>
    <t>Ticagrelor 90 mg BID</t>
  </si>
  <si>
    <t>Ticlopidine 250 mg BID</t>
  </si>
  <si>
    <t>Dipyridamole 75 mg TID</t>
  </si>
  <si>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</si>
  <si>
    <t>Coronary artery disease &amp; Antiplatelets</t>
  </si>
  <si>
    <t>PLE_CC1_2565_Day1_Key ข้อ 7</t>
  </si>
  <si>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</si>
  <si>
    <t>&lt; 130/80 mmHg (หากผู้ป่วยทนต่อการรักษาได้ดี)</t>
  </si>
  <si>
    <t>&lt; 140/90 mmHg สำหรับผู้ป่วยทุกราย</t>
  </si>
  <si>
    <t>&lt; 150/90 mmHg</t>
  </si>
  <si>
    <t>&lt; 120/70 mmHg ในผู้ป่วยเบาหวานทุกราย</t>
  </si>
  <si>
    <t>&lt; 160/100 mmHg</t>
  </si>
  <si>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</si>
  <si>
    <t>Hypertension Targets</t>
  </si>
  <si>
    <t>PLE_CC1_2565_Day1_Key ข้อ 3</t>
  </si>
  <si>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</si>
  <si>
    <t>Enalapril 5-10 mg OD หรือ Losartan 50 mg OD</t>
  </si>
  <si>
    <t>เพิ่ม Carvedilol เป็น 25 mg 1x2 ทันที</t>
  </si>
  <si>
    <t>Hydrochlorothiazide 25 mg OD</t>
  </si>
  <si>
    <t>Diltiazem 60 mg TID</t>
  </si>
  <si>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</si>
  <si>
    <t>Hypertension &amp; Diabetic Nephropathy</t>
  </si>
  <si>
    <t>PLE_CC1_2565_Day1_Key ข้อ 22</t>
  </si>
  <si>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</si>
  <si>
    <t>Increase liver enzyme</t>
  </si>
  <si>
    <t>Arthralgia</t>
  </si>
  <si>
    <t>New onset diabetes Atorvastatin PLE-CC1 Preparation 2565 Ref. Micromedex</t>
  </si>
  <si>
    <t>Headache</t>
  </si>
  <si>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</si>
  <si>
    <t>PLE_CC1_2565_Day2_Key ข้อ 3</t>
  </si>
  <si>
    <t>ปี 2565</t>
  </si>
  <si>
    <t>ข้อใดไม่ถูกต้องเกี่ยวกับยา Omeprazole Clopidogrel อาย CYP2C19 ในการเน active drug +ง-น ไ/ควรใ23วม5บ Omeprazole 7งเน CYP2C19 inhibitor</t>
  </si>
  <si>
    <t>1.ไม่ควรใช้ร่วมกับยา Clopidogrel</t>
  </si>
  <si>
    <t>2.เพิ่มความเสี่ยงการเกิดกระดูกหัก</t>
  </si>
  <si>
    <t>3.ลดการดูดซึม Vitamin B12 และเหล็ก</t>
  </si>
  <si>
    <t>4.เพิ่มความเสี่ยงติดเชื้อ Clostridioides difficile</t>
  </si>
  <si>
    <t>5.เคี้ยวให้ละเอียดก่อนรับประทาน</t>
  </si>
  <si>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</si>
  <si>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PLE_CC1_2565_Day2_Key ข้อ 29</t>
  </si>
  <si>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</si>
  <si>
    <t>50 คน</t>
  </si>
  <si>
    <t>80 คน</t>
  </si>
  <si>
    <t>133 คน</t>
  </si>
  <si>
    <t>160 คน</t>
  </si>
  <si>
    <t>180 คน</t>
  </si>
  <si>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</si>
  <si>
    <t>PLE_CC1_2564_All_Key ข้อ 17</t>
  </si>
  <si>
    <t>148/95 เป็น HTN ระดับไหนตาม Thai guideline</t>
  </si>
  <si>
    <t>ความดันโลหิตปกติ (Normal blood pressure)</t>
  </si>
  <si>
    <t>ความดันโลหิตสูงระดับ 1 (Stage 1 Hypertension)</t>
  </si>
  <si>
    <t>ความดันโลหิตสูงระดับ 2 (Stage 2 Hypertension)</t>
  </si>
  <si>
    <t>ความดันโลหิตสูงชนิด Isolated Systolic Hypertension</t>
  </si>
  <si>
    <t>ความดันโลหิตสูงชนิด Masked Hypertension</t>
  </si>
  <si>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</si>
  <si>
    <t>PLE_CC1_2564_All_Key ข้อ 18</t>
  </si>
  <si>
    <t>อะไรที่ไม่ใช่คำแนะนำในผู้ป่วยความดันสูง</t>
  </si>
  <si>
    <t>ลดน้ำหนักให้อยู่ในเกณฑ์เหมาะสม (BMI 18.5 - 22.9 kg/m²)</t>
  </si>
  <si>
    <t>ออกกำลังกายแบบแอโรบิกสม่ำเสมออย่างน้อย 150 นาที/สัปดาห์</t>
  </si>
  <si>
    <t>งดสูบบุหรี่และหลีกเลี่ยงควันบุหรี่มือสอง</t>
  </si>
  <si>
    <t>จำกัดการดื่มเครื่องดื่มแอลกอฮอล์</t>
  </si>
  <si>
    <t>งดรับประทานอาหารที่มีโพแทสเซียมสูง (งดผักและผลไม้ทุกชนิด)</t>
  </si>
  <si>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</si>
  <si>
    <t>PLE_CC1_2564_All_Key ข้อ 19</t>
  </si>
  <si>
    <t>ชาย อายุประมาณ 30-50 BMI 27 เป็น prediabetic, พ่อเป็นโรคหลอดเลือดหัวใจตีบ 3 เส้น, แม่เป็น DM type 2 ควรตรวจอะไรเพิ่ม?</t>
  </si>
  <si>
    <t>exercise induced asthma</t>
  </si>
  <si>
    <t>urinalysis</t>
  </si>
  <si>
    <t>renal function</t>
  </si>
  <si>
    <t>lipid profile e)-</t>
  </si>
  <si>
    <t>Electrocardiogram (EKG)</t>
  </si>
  <si>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</si>
  <si>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PLE_CC1_2564_All_Key ข้อ 24</t>
  </si>
  <si>
    <t>ผู้ป่วยควรได้รับยาใดเพื่อลดความดันโลหิต</t>
  </si>
  <si>
    <t>Doxazosin</t>
  </si>
  <si>
    <t>Spironolactone</t>
  </si>
  <si>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</si>
  <si>
    <t>ข้อ 56 (PLE_CC1_2562_Key.md)</t>
  </si>
  <si>
    <t>ปี 2564</t>
  </si>
  <si>
    <t>ยาใดที่สามารถป้องกันโรคหัวใจและหลอดเลือดได้ในผู้ป่วยรายนี้  .De ASCVD Pantiplatletdeprimary prophylaxis X</t>
  </si>
  <si>
    <t>Aspirin 81 mg OD hs</t>
  </si>
  <si>
    <t>Simvastatin 10 mg OD hs</t>
  </si>
  <si>
    <t>Ezetimibe 10 mg 1 tab po pc</t>
  </si>
  <si>
    <t>Fenofibrate 160 mg 1 tab po pc</t>
  </si>
  <si>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</si>
  <si>
    <t>ข้อ 57 (PLE_CC1_2562_Key.md)</t>
  </si>
  <si>
    <t>พฤติกรรมใดที่ควรปรับเปลี่ยนในผู้ป่วยรายนี้น้อยที่สุด n.nise , MI gowt sim-ger HE ton . dem . beer =</t>
  </si>
  <si>
    <t>ลดอาหารเค็ม</t>
  </si>
  <si>
    <t>งดดื่มแอลกอฮอล์</t>
  </si>
  <si>
    <t>งดการสูบบุหรี่</t>
  </si>
  <si>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</si>
  <si>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</si>
  <si>
    <t>ข้อ 70 (PLE_CC1_2562_Key.md)</t>
  </si>
  <si>
    <t>ระดับความดันที่เปEนเปFาหมายในผูป%วยรายนี้เปEนเท!าใดตาม ACC guideline 2017</t>
  </si>
  <si>
    <t>130/90 mmHg</t>
  </si>
  <si>
    <t>150/90 mmHg</t>
  </si>
  <si>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</si>
  <si>
    <t>ข้อ 1 (PLE_CC1_2561_Key.md)</t>
  </si>
  <si>
    <t>ควรจัดการอย!างไรเมื่อภายหลังที่ไดรับยาไป 3 เดือนผูป%วยเกิด hyperkalemia</t>
  </si>
  <si>
    <t>กินแบบเดิม</t>
  </si>
  <si>
    <t>เพิ่มยา HCTZ</t>
  </si>
  <si>
    <t>เพิ่มยา spironolactone</t>
  </si>
  <si>
    <t>หยุดยา enalapril</t>
  </si>
  <si>
    <t>เพิ่มขนาดยา enalapril</t>
  </si>
  <si>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</si>
  <si>
    <t>ข้อ 2 (PLE_CC1_2561_Key.md)</t>
  </si>
  <si>
    <t>แพทยTพิจารณาใหจ!ายยา simvastatin 40 mg 1xhs เพิ่ม ขอใด ต!อไปนี้ถูกตอง</t>
  </si>
  <si>
    <t>ไม!จำเปEนตองใหsimvastatin</t>
  </si>
  <si>
    <t>จ!ายไดตามขนาดที่แพทยTจ!าย</t>
  </si>
  <si>
    <t>เปลี่ยนเปEน atorvastatin 20 mg แทน</t>
  </si>
  <si>
    <t>จ!ายไม!ไดเพราะไม!เขากับโรคของผูป%วย</t>
  </si>
  <si>
    <t>จ!ายไดแต!ตองเพิ่มขนาดยาเปEน simvastatin 80 mg nmortalityratehicus ats</t>
  </si>
  <si>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</si>
  <si>
    <t>ข้อ 3 (PLE_CC1_2561_Key.md)</t>
  </si>
  <si>
    <t>ขอใดคืออาการไม!พึงประสงคTของยา amlodipine ที่พบไดบ!อย</t>
  </si>
  <si>
    <t>Myopathy</t>
  </si>
  <si>
    <t>Gastric ulcer</t>
  </si>
  <si>
    <t>Renal failure</t>
  </si>
  <si>
    <t>Peripheral edema nivamiodipinenow C</t>
  </si>
  <si>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</si>
  <si>
    <t>ข้อ 4 (PLE_CC1_2561_Key.md)</t>
  </si>
  <si>
    <t>ข้อใดคือกลไกการออกฤทธิ์ของยา amlodipine</t>
  </si>
  <si>
    <t>ยับยั้ง renin</t>
  </si>
  <si>
    <t>ยับยั้ง calcium channel</t>
  </si>
  <si>
    <t>ยับยั้ง beta-2 adrenergic receptor</t>
  </si>
  <si>
    <t>ยับยั้ง alpha-1 adrenergic receptor</t>
  </si>
  <si>
    <t>ยับยั้ง angiotensin converting enzyme</t>
  </si>
  <si>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</si>
  <si>
    <t>ข้อ 97 (PLE_CC1_2561_Key.md)</t>
  </si>
  <si>
    <t>ปี 2562</t>
  </si>
  <si>
    <t>คนไข้คนใหม่ กิน Aspirin แล้วปวดท้อง จะต้องปรับปรุงสูตรต้ารับ โดยใช้สารเคลือบอะไร</t>
  </si>
  <si>
    <t>Hypromellose</t>
  </si>
  <si>
    <t>Hydroxyproyl methylcellulose pthalate</t>
  </si>
  <si>
    <t>Methyl cellulose</t>
  </si>
  <si>
    <t>Ethyl cellulose</t>
  </si>
  <si>
    <t>amino methacrylate copolymer</t>
  </si>
  <si>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</si>
  <si>
    <t>ข้อ 7 (PLE_CC1_2560 22 April Set 1.md)</t>
  </si>
  <si>
    <t>เกิด Angioedema จาก Enalapril ควรท้าอย่างไร</t>
  </si>
  <si>
    <t>เปลี่ยนเป็น Lisinopril</t>
  </si>
  <si>
    <t>เปลี่ยนเป็น Candesartan</t>
  </si>
  <si>
    <t>ใช้ Enalapril ต่อ เดี๋ยวอาการจะดีขึ น พร้อมติดตามอย่างใกล้ชิด</t>
  </si>
  <si>
    <t>ลดขนาดยา Enalapril</t>
  </si>
  <si>
    <t>หยุดยาจนหาย แล้วค่อยลองใช้อีกครั ง ร่วมกับต้องติดตามอย่างใกล้ชิด</t>
  </si>
  <si>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</si>
  <si>
    <t>ข้อ 3 (PLE_CC1_2560 22 April Set 1.md)</t>
  </si>
  <si>
    <t>ข้อใดเป็นอาการไม่พึงประสงค์ของยา enalapril</t>
  </si>
  <si>
    <t>Tachycardia</t>
  </si>
  <si>
    <t>Seizure</t>
  </si>
  <si>
    <t>Parkinsonism</t>
  </si>
  <si>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</si>
  <si>
    <t>ข้อ 4 (PLE_CC1_2560 22 April Set 1.md)</t>
  </si>
  <si>
    <t>ในการผลิตระดับอุตสาหกรรม ต้องใช้น ้าอะไร ในการผลิต Furosemide injection</t>
  </si>
  <si>
    <t>Purified water</t>
  </si>
  <si>
    <t>Water for injection USP</t>
  </si>
  <si>
    <t>Sterile water for injection USP</t>
  </si>
  <si>
    <t>Steril water for irrigation USP</t>
  </si>
  <si>
    <t>Bacteriostatic water for injection USP</t>
  </si>
  <si>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</si>
  <si>
    <t>ข้อ 8 (PLE_CC1_2560 22 April Set 1.md)</t>
  </si>
  <si>
    <t>ยาใดท้าให้ Hyperkalemia</t>
  </si>
  <si>
    <t>Moduretic</t>
  </si>
  <si>
    <t>Glipizide</t>
  </si>
  <si>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</si>
  <si>
    <t>ข้อ 1 (PLE_CC1_2560 22 April Set 1.md)</t>
  </si>
  <si>
    <t>หลังจากหยุดยาที่เป็นสาเหตุแล้วจะจัดการภาวะ hyperkalemia ในผู้ป่วยรายนี อย่างไร</t>
  </si>
  <si>
    <t>ฉีด Insulin</t>
  </si>
  <si>
    <t>พ่น Salbutamol</t>
  </si>
  <si>
    <t>ฉีด Calcium gluconate</t>
  </si>
  <si>
    <t>ไปฟอกไต</t>
  </si>
  <si>
    <t>ไม่ต้องใช้ยารักษาอะไร</t>
  </si>
  <si>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</si>
  <si>
    <t>ต่อมาคนให้เป็น Acute kidney injury on top CKD มีภาวะ Hyperkalemia ถามว่า ยาใดที่เป็น Ion exchange</t>
  </si>
  <si>
    <t>Calcium polystyrene sulfonate</t>
  </si>
  <si>
    <t>Insulin</t>
  </si>
  <si>
    <t>Calcium gluconate</t>
  </si>
  <si>
    <t>Beta 2 agonist</t>
  </si>
  <si>
    <t>Sodium bicarbonate</t>
  </si>
  <si>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</si>
  <si>
    <t>เป้าหมายความดันโลหิตของผู้ป่วยรายนี ตาม ADA2016</t>
  </si>
  <si>
    <t>130/80</t>
  </si>
  <si>
    <t>140/90</t>
  </si>
  <si>
    <t>150/90</t>
  </si>
  <si>
    <t>130/70</t>
  </si>
  <si>
    <t>Losartan 50 mg OD</t>
  </si>
  <si>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</si>
  <si>
    <t>ข้อ 2 (PLE_CC1_2560 22 April Set 1.md)</t>
  </si>
  <si>
    <t>ปัจจัยใดท้าให้ผู้ป่วยได้รับ Aspirin</t>
  </si>
  <si>
    <t>อายุ</t>
  </si>
  <si>
    <t>อ้วน</t>
  </si>
  <si>
    <t>แอลกอฮอล์</t>
  </si>
  <si>
    <t>ไม่ออกก้าลังกาย</t>
  </si>
  <si>
    <t>เพศ</t>
  </si>
  <si>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</si>
  <si>
    <t>ปี 2561</t>
  </si>
  <si>
    <t>ADR ของ Enalapril</t>
  </si>
  <si>
    <t>...</t>
  </si>
  <si>
    <t>Empagliflozin 10 mg OD</t>
  </si>
  <si>
    <t>Diltiazem 30 mg TID</t>
  </si>
  <si>
    <t>Warfarin 3 mg OD (target INR 2.0-3.0)</t>
  </si>
  <si>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</si>
  <si>
    <t>ข้อ 4 (PLE_CC1_2560 22 April Set 2.md)</t>
  </si>
  <si>
    <t>ยาใดทำให้ Hyperkalemia</t>
  </si>
  <si>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</si>
  <si>
    <t>ข้อ 1 (PLE_CC1_2560 22 April Set 2.md)</t>
  </si>
  <si>
    <t>การจัดการภาวะ Hyperkalemia หลังจากหยุดยาที่เป็นสาเหตุ</t>
  </si>
  <si>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</si>
  <si>
    <t>ข้อ 3 (PLE_CC1_2560 22 April Set 2.md)</t>
  </si>
  <si>
    <t>ข้อใดเป็นคำแนะนำที่ผิด ในการใช้ Minipill ในสตรีให้นมบุตร สำหรับคุมกำเนิด</t>
  </si>
  <si>
    <t>ให้รับประทานยาต่อเนื่อง ไม่ต้องหยุดยา 7 วัน</t>
  </si>
  <si>
    <t>อาจมีเลือดออกกระปิบกระปอย</t>
  </si>
  <si>
    <t>การใช้ Amoxicillin ไม่มีผลต่อการออกฤทธิ์ของยา</t>
  </si>
  <si>
    <t>หากลืมรับประทานยาเกิน 24 ชั่วโมง ยายังมีประสิทธิภาพในการคุมกำเนิดเท่าเดิม</t>
  </si>
  <si>
    <t>รับประทานติดต่อกันเป็นระยะเวลานาน อาจทำให้ขาดประจำเดือน</t>
  </si>
  <si>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</si>
  <si>
    <t>ข้อ 5 (PLE_CC1_2560 22 April Set 2.md)</t>
  </si>
  <si>
    <t>ผู้ป่วยรายนี เป็นโรคภาวะหัวใจล้มเหลวอยู่ใน stage ใด</t>
  </si>
  <si>
    <t>Stage A</t>
  </si>
  <si>
    <t>Stage B</t>
  </si>
  <si>
    <t>Stage C</t>
  </si>
  <si>
    <t>Stage D</t>
  </si>
  <si>
    <t>Stage E</t>
  </si>
  <si>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</si>
  <si>
    <t>ข้อ 1 (PLE_CC1_2559.md)</t>
  </si>
  <si>
    <t>การที่ผู้ป่วยได้รับยา warfarin ต้องมีการตรวจติดตามค่าอะไร</t>
  </si>
  <si>
    <t>Prothrombin time</t>
  </si>
  <si>
    <t>Activated thromboplastin time</t>
  </si>
  <si>
    <t>International normalized ratio</t>
  </si>
  <si>
    <t>Heparin anti-factor  level</t>
  </si>
  <si>
    <t>International sensitivity index</t>
  </si>
  <si>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</si>
  <si>
    <t>ข้อ 6 (PLE_CC1_2559.md)</t>
  </si>
  <si>
    <t>ข้อใดถูกเกี่ยวกับโครงสร้างของ warfarin</t>
  </si>
  <si>
    <t>Racemic mixture หมุน polarize ไม่ได้</t>
  </si>
  <si>
    <t>มี chiral carbon 2 atom</t>
  </si>
  <si>
    <t>จากโครงสร้างเป็น S-form</t>
  </si>
  <si>
    <t>R-form กับ S-form วัดได้จาก Polarimeter</t>
  </si>
  <si>
    <t>R-form กับ S-form ไม่ได้เป็น optical isomer</t>
  </si>
  <si>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</si>
  <si>
    <t>ข้อ 7 (PLE_CC1_2559.md)</t>
  </si>
  <si>
    <t>ปี 2560</t>
  </si>
  <si>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</si>
  <si>
    <t>Category A</t>
  </si>
  <si>
    <t>Category B</t>
  </si>
  <si>
    <t>Category E</t>
  </si>
  <si>
    <t>Category F</t>
  </si>
  <si>
    <t>Category I ยาที่ได้รับ Theophylline SR 1x2 Seretide evohaler (25/125) 2 puff bid Berodual 2 puff prn Phenytoin 3xhs</t>
  </si>
  <si>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</si>
  <si>
    <t>ข้อ 9 (PLE_CC1_2559.md)</t>
  </si>
  <si>
    <t>ควรได้รับยาอะไรเสริมด้วยในผู้ป่วยที่ได้รับยา metformin</t>
  </si>
  <si>
    <t>Riboflavin</t>
  </si>
  <si>
    <t>Pyridoxine</t>
  </si>
  <si>
    <t>Cobalamin</t>
  </si>
  <si>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</si>
  <si>
    <t>ข้อ 20 (PLE_CC1_2559.md)</t>
  </si>
  <si>
    <t>2 เดือนต่อมา ผู้ป่วยกลับมาตรวจพบ FBS 120 mg/dL HbA1C 7% eGFR 25 mL/min ควรปรับเปลี่ยนยา อย่างไร</t>
  </si>
  <si>
    <t>เพิ่ม glipizide</t>
  </si>
  <si>
    <t>เปลี่ยน glibenclamide เป็น chlorpropamide</t>
  </si>
  <si>
    <t>เปลี่ยน metformin เป็น pioglitazone</t>
  </si>
  <si>
    <t>เพิ่มยา acarbose เนื่องจากระดับน ้าตาลยังไม่ได้เป้าหมาย</t>
  </si>
  <si>
    <t>ไม่ต้องมีการเปลี่ยนแปลง</t>
  </si>
  <si>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</si>
  <si>
    <t>ข้อ 21 (PLE_CC1_2559.md)</t>
  </si>
  <si>
    <t>ความดันเป้าหมายในผู้ป่วยรายนี เท่ากับเท่าไรตาม JNC II</t>
  </si>
  <si>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</si>
  <si>
    <t>ข้อ 77 (PLE_CC1_2559.md)</t>
  </si>
  <si>
    <t>หากคนไข้ได้รับยา enalapril ควรต้องมีการติดตามค่าใด</t>
  </si>
  <si>
    <t>Complete blood count</t>
  </si>
  <si>
    <t>Liver function test</t>
  </si>
  <si>
    <t>Fasting blood glucose</t>
  </si>
  <si>
    <t>Electrocardiogram</t>
  </si>
  <si>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</si>
  <si>
    <t>ข้อ 79 (PLE_CC1_2559.md)</t>
  </si>
  <si>
    <t>ยาตัวใดปลอดภัยกับหัวใจที่สุด</t>
  </si>
  <si>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</si>
  <si>
    <t>ข้อ 88 (PLE_CC1_2559.md)</t>
  </si>
  <si>
    <t>เป้าหมายความดันโลหิตของผู้ป่วยรายนี้ตาม JNC8 เท่ากับข้อใด</t>
  </si>
  <si>
    <t>125/90 mmHg</t>
  </si>
  <si>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</si>
  <si>
    <t>ข้อ 1 (PLE_CC1_2558_Key.md)</t>
  </si>
  <si>
    <t>ข้อใดคือ ADR ของ enalapril ที่ต้องติดตาม</t>
  </si>
  <si>
    <t>Hypernatremia</t>
  </si>
  <si>
    <t>Hyperphosphatemia</t>
  </si>
  <si>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</si>
  <si>
    <t>ข้อ 2 (PLE_CC1_2558_Key.md)</t>
  </si>
  <si>
    <t>ควรเพิ่มยารักษาความดันใดให้ได้ตามเป้าหมาย</t>
  </si>
  <si>
    <t>Indapamide</t>
  </si>
  <si>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</si>
  <si>
    <t>ข้อ 3 (PLE_CC1_2558_Key.md)</t>
  </si>
  <si>
    <t>Simvastatin เกิดปฏิกิริยาระหว่างยา gemfibrozil ด้วยกลไก</t>
  </si>
  <si>
    <t>CYP 3A4</t>
  </si>
  <si>
    <t>CYP 1A2</t>
  </si>
  <si>
    <t>CYP 2C9</t>
  </si>
  <si>
    <t>Sulfation</t>
  </si>
  <si>
    <t>OATP 1B1</t>
  </si>
  <si>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</si>
  <si>
    <t>ข้อ 5 (PLE_CC1_2558_Key.md)</t>
  </si>
  <si>
    <t>โครงสร้าง ยา enalapril เสื่อมด้วยกลไกใด</t>
  </si>
  <si>
    <t>Epimerization</t>
  </si>
  <si>
    <t>Dimerization</t>
  </si>
  <si>
    <t>Hydrolysis</t>
  </si>
  <si>
    <t>Tautomerization</t>
  </si>
  <si>
    <t>Intramolecular cyclication</t>
  </si>
  <si>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</si>
  <si>
    <t>ข้อ 6 (PLE_CC1_2558_Key.md)</t>
  </si>
  <si>
    <t>6 เดือนต่อมาผู้ป่วยมีภาวะหลอดเลือดแดงที่ไตตีบ ควรให้ยาความดันตัวใด -</t>
  </si>
  <si>
    <t>Ramipril</t>
  </si>
  <si>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</si>
  <si>
    <t>ข้อ 7 (PLE_CC1_2558_Key.md)</t>
  </si>
  <si>
    <t>หากผู้ป่วยมีโรคความดันร่วมไม่ควรได้ยาใด</t>
  </si>
  <si>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</si>
  <si>
    <t>ข้อ 30 (PLE_CC1_2558_Key.md)</t>
  </si>
  <si>
    <t>ยารักษาภาวะ hyperkalemia</t>
  </si>
  <si>
    <t>Sevelamer</t>
  </si>
  <si>
    <t>Al(OH)3</t>
  </si>
  <si>
    <t>Sodium polystyrene sulfonate</t>
  </si>
  <si>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</si>
  <si>
    <t>ข้อ 50 (PLE_CC1_2558_Key.md)</t>
  </si>
  <si>
    <t>NSAIDs ใดมีผลต่อหัวใจและหลอดเลือดน้อยสุด</t>
  </si>
  <si>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</si>
  <si>
    <t>ข้อ 67 (PLE_CC1_2558_Key.md)</t>
  </si>
  <si>
    <t>ตาม guideline ADA 2014 ควรให้ aspirin หรือไม่ อย่างไร</t>
  </si>
  <si>
    <t>ให้เพื่อป้องกันโรคหลอดเลือดหัวใจแบบปฐมภูมิ</t>
  </si>
  <si>
    <t>ให้เพื่อป้องกันโรคหลอดเลือดหัวใจแบบทุติยภูมิ</t>
  </si>
  <si>
    <t>ไม่ให้เพราะไม่จำเป็นต้องป้องกันโรคหลอดเลือดหัวใจแบบปฐมภูมิ</t>
  </si>
  <si>
    <t>ไม่ให้ เพราะไม่จำเป็นต้องป้องกันโรคหลอดเลือดหัวใจแบบทุติยภูมิ</t>
  </si>
  <si>
    <t>ไม่ให้ เพราะไม่เข้าเกณฑ์ตาม ADA guideline</t>
  </si>
  <si>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</si>
  <si>
    <t>ข้อ 86 (PLE_CC1_2558_Key.md)</t>
  </si>
  <si>
    <t>ผู้ป่วยหญิง อายุ 60 ปี มีความดัน 130/100 จัดอยู่ใน Stage ใดตาม ACC/AHA 2017</t>
  </si>
  <si>
    <t>Hypertension Stage 1</t>
  </si>
  <si>
    <t>Hypertension Stage 2</t>
  </si>
  <si>
    <t>Hypertension Stage 3</t>
  </si>
  <si>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</si>
  <si>
    <t>ข้อ 3 (Pharmtutor_2024_Set1.md)</t>
  </si>
  <si>
    <t>ยาใดไม่สามารถลดอัตราการเสียชีวิตจากโรคที่เกี่ยวข้องกับโรคระบบหัวใจและหลอดเลือด</t>
  </si>
  <si>
    <t>ACE inhibitor</t>
  </si>
  <si>
    <t>Beta-blocker</t>
  </si>
  <si>
    <t>Calcium channel blocker</t>
  </si>
  <si>
    <t>Statin</t>
  </si>
  <si>
    <t>Aldosterone antagonist</t>
  </si>
  <si>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</si>
  <si>
    <t>ข้อ 7 (Pharmtutor_2024_Set1.md)</t>
  </si>
  <si>
    <t>ผู้ป่วย TG 250 HDL 30 Total cholesterol 280 ผู้ป่วยรายนี้ มี LDL เท่าใด</t>
  </si>
  <si>
    <t>160 mg/dL</t>
  </si>
  <si>
    <t>170 mg/dL</t>
  </si>
  <si>
    <t>180 mg/dL</t>
  </si>
  <si>
    <t>190 mg/dL</t>
  </si>
  <si>
    <t>200 mg/dL</t>
  </si>
  <si>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</si>
  <si>
    <t>ข้อ 8 (Pharmtutor_2024_Set1.md)</t>
  </si>
  <si>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</si>
  <si>
    <t>62.5 mL/min</t>
  </si>
  <si>
    <t>65.8 mL/min</t>
  </si>
  <si>
    <t>66.7 mL/min</t>
  </si>
  <si>
    <t>72.7 mL/min</t>
  </si>
  <si>
    <t>75.4 mL/min</t>
  </si>
  <si>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</si>
  <si>
    <t>ข้อ 88 (Pharmtutor_2024_Set1.md)</t>
  </si>
  <si>
    <t>ปี 2559</t>
  </si>
  <si>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</si>
  <si>
    <t>Stage 1</t>
  </si>
  <si>
    <t>Stage 2</t>
  </si>
  <si>
    <t>Stage 3</t>
  </si>
  <si>
    <t>Stage 4</t>
  </si>
  <si>
    <t>Stage 5</t>
  </si>
  <si>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</si>
  <si>
    <t>ข้อ 89 (Pharmtutor_2024_Set1.md)</t>
  </si>
  <si>
    <t>ผู้ป่วยหญิงไทย วัดความดันได้ 158/96 mmHg ผู้ป่วยรายนี้ จัดอยู่ใน Stage ใด ตาม Hypertension guideline ประเทศไทย 2019</t>
  </si>
  <si>
    <t>Hypertension stage 1</t>
  </si>
  <si>
    <t>Hypertension stage 2</t>
  </si>
  <si>
    <t>Hypertension stage 3</t>
  </si>
  <si>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</si>
  <si>
    <t>ข้อ 5 (Pharmtutor_2024_Set2.md)</t>
  </si>
  <si>
    <t>ผู้ป่วยจากข้อ 5. ควรเริ่มยาอะไร หากผู้ป่วยไม่มีโรคประจำตัวอื่น ไม่มีประวัติแพ้ยา ระดับค่า potassium ปกติ, Albumin +3</t>
  </si>
  <si>
    <t>Verapamil</t>
  </si>
  <si>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</si>
  <si>
    <t>ข้อ 6 (Pharmtutor_2024_Set2.md)</t>
  </si>
  <si>
    <t>ข้อใดไม่เกี่ยวข้องกับยากลุ่ม Statin</t>
  </si>
  <si>
    <t>Nephropathy</t>
  </si>
  <si>
    <t>Induce Anemia</t>
  </si>
  <si>
    <t>New onset Diabetes mellitus</t>
  </si>
  <si>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</si>
  <si>
    <t>ข้อ 9 (Pharmtutor_2024_Set2.md)</t>
  </si>
  <si>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</si>
  <si>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</si>
  <si>
    <t>ข้อ 10 (Pharmtutor_2024_Set2.md)</t>
  </si>
  <si>
    <t>ปัจจัยใดส่งผลต่อการเกิดภาวะ Rhabdomyolysis จากการรับประทานยากลุ่ม Statins</t>
  </si>
  <si>
    <t>โครงสร้างของยาของ Statins ที่รับประทาน</t>
  </si>
  <si>
    <t>ภาวะบกพร่องของตับและไต</t>
  </si>
  <si>
    <t>อันตรกิริยาระหว่างยา ที่ผ่านตัวนำส่งยาชนิด OATP1B1</t>
  </si>
  <si>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</si>
  <si>
    <t>ข้อ 11 (Pharmtutor_2024_Set2.md)</t>
  </si>
  <si>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</si>
  <si>
    <t>ผลข้างเคียงของยาลดความดัน Enalapril</t>
  </si>
  <si>
    <t>ผลข้างเคียงของการใช้ยาร่วมกันระหว่าง Enalapril + Simvastatin</t>
  </si>
  <si>
    <t>อาการของ Atypical GERD</t>
  </si>
  <si>
    <t>อาการของ Acute Gastrointestinal disease</t>
  </si>
  <si>
    <t>ไม่สามารถสรุปได้</t>
  </si>
  <si>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</si>
  <si>
    <t>ข้อ 21 (Pharmtutor_2024_Set2.md)</t>
  </si>
  <si>
    <t>ผู้ป่วยโรคหลอดเลือดหัวใจควรได้รับ Clopidogrel 75 mg OD สำหรับการรักษาหรือป้องกันในข้อใด</t>
  </si>
  <si>
    <t>ยาตัวใดที่ออกฤทธิ์ไม่เกี่ยวกับการหลั่ง insulin หรือ insulin resistance</t>
  </si>
  <si>
    <t>Enalapril 10 mg BID</t>
  </si>
  <si>
    <t>Atorvastatin 20 mg OD</t>
  </si>
  <si>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</si>
  <si>
    <t>ข้อ 4 (PLE_CC1_2556.md)</t>
  </si>
  <si>
    <t>ข้อใดคือข้อควรแนะนำสำหรับผู้ป่วยที่ได้รับยา warfarin ครั้งแรก</t>
  </si>
  <si>
    <t>ลดปริมาณการทานผักใบเขียว</t>
  </si>
  <si>
    <t>ให้ผู้ป่วยสังเกตอาการลิ่มเลือดอุดตัน เช่น มีจ ้าเลือด ฟกช ้า</t>
  </si>
  <si>
    <t>เมื่อมีอาการเลือดออกตามไรฟันให้รีบไปพบแพทย์</t>
  </si>
  <si>
    <t>................</t>
  </si>
  <si>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</si>
  <si>
    <t>ข้อ 2 (PLE_CC1_2555 Day 1.md)</t>
  </si>
  <si>
    <t>ข้อใดถูกต้องเกี่ยวกับยา warfarin</t>
  </si>
  <si>
    <t>Warfarin ออกฤทธิ์ภายใน 1 วัน</t>
  </si>
  <si>
    <t>สามารถบรรเทาอาการปวดได้โดยใช้ยา paracetamol เป็นประจำโดยไม่มีผลต่อ warfarin</t>
  </si>
  <si>
    <t>ผู้ป่วยที่เป็นภาวะ Mital stenosis มี target INR คือ 2-3</t>
  </si>
  <si>
    <t>สามารถใช้ค่า aPTT ในการตรวจติดตามผลการรักษา</t>
  </si>
  <si>
    <t>สามารถใช้ค่าระดับ Platelet ในการตรวจติดตามผลการรักษา</t>
  </si>
  <si>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</si>
  <si>
    <t>ข้อ 4 (PLE_CC1_2555 Day 1.md)</t>
  </si>
  <si>
    <t>ข้อใดต่อไปนี้ที่ทำให้เกิดภาวะ thrombosis ในผู้ป่วยที่ใช้ยา warfarin</t>
  </si>
  <si>
    <t>CYP 2C9 poor metabolizer</t>
  </si>
  <si>
    <t>การใช้วิตามิน E ร่วมด้วย</t>
  </si>
  <si>
    <t>ใช้ Phenobarbital ร่วมด้วย</t>
  </si>
  <si>
    <t>ใช้ etoricoxib ร่วมด้วย</t>
  </si>
  <si>
    <t>…..</t>
  </si>
  <si>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</si>
  <si>
    <t>ข้อ 6 (PLE_CC1_2555 Day 1.md)</t>
  </si>
  <si>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</si>
  <si>
    <t>ขนาด 3 mg…เม็ด</t>
  </si>
  <si>
    <t>ขนาด 3 mg…เม็ดและขนาด 5mg...เม็ด</t>
  </si>
  <si>
    <t>ขนาด 5 mg 14 เม็ด</t>
  </si>
  <si>
    <t>ขนาด 5 mg 28 เม็ด</t>
  </si>
  <si>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</si>
  <si>
    <t>ข้อ 7 (PLE_CC1_2555 Day 1.md)</t>
  </si>
  <si>
    <t>ปี 2558</t>
  </si>
  <si>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</si>
  <si>
    <t>Cardiac enzyme (Troponin T/I, CK-MB)</t>
  </si>
  <si>
    <t>Cardiac enzyme</t>
  </si>
  <si>
    <t>คลื่นไฟฟ้าหัวใจ</t>
  </si>
  <si>
    <t>ตรวจตับ</t>
  </si>
  <si>
    <t>ดูอาการเจ็บหน้าอก</t>
  </si>
  <si>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</si>
  <si>
    <t>ข้อ 8 (PLE_CC1_2554 SET2.md)</t>
  </si>
  <si>
    <t>105.ข้อใดไม่ใช่ฤทธิ์ pleiotropic effect ของยากลุ่ม statins</t>
  </si>
  <si>
    <t>anti-inflammatory</t>
  </si>
  <si>
    <t>ยับยั้งการเกาะกลุ่มของเกร็ดเลือด</t>
  </si>
  <si>
    <t>ป้องกันการเกิด oxidized LDL</t>
  </si>
  <si>
    <t>ยับยั้งการนากลูโคสเข้าเซลล์</t>
  </si>
  <si>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</si>
  <si>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</si>
  <si>
    <t>ข้อ 2002 (PLE_CC1_2554 SET2.md)</t>
  </si>
  <si>
    <t>ข้อใดคือป็จจัยเสี่ยงในการเกิดโรคความดันโลหิตสูงของผู้ป่วยรายนี้</t>
  </si>
  <si>
    <t>โรคประจำตัว</t>
  </si>
  <si>
    <t>ยาที่ใช้ประจำ</t>
  </si>
  <si>
    <t>สูบบุหรี่</t>
  </si>
  <si>
    <t>ทุกข้อที่กล่าวมาล้วนเป็นป็จจัยเสี่ยง</t>
  </si>
  <si>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</si>
  <si>
    <t>ข้อ 1 (PLE_CC1_Practice_Exam.md)</t>
  </si>
  <si>
    <t>ระดับความดันโลหิตเป้าหมายของผู้ป่วยรายนี้คือเท่าไหร่</t>
  </si>
  <si>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</si>
  <si>
    <t>ข้อ 5 (PLE_CC1_Practice_Exam.md)</t>
  </si>
  <si>
    <t>จากโครงสร้างทางเคมีต่อไปนี้ จัดเป็นยาลดความดันโลหิตในกลุ่มใด</t>
  </si>
  <si>
    <t>Calcium channel blockers</t>
  </si>
  <si>
    <t>ACEIs</t>
  </si>
  <si>
    <t>Alpha-adrenergic antagonists</t>
  </si>
  <si>
    <t>Beta-adrenergic antagonists</t>
  </si>
  <si>
    <t>Direct vasodilators</t>
  </si>
  <si>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</si>
  <si>
    <t>ข้อ 7 (PLE_CC1_Practice_Exam.md)</t>
  </si>
  <si>
    <t>การปรับเปลี่ยนพฤติกรรมในการรักษาโรคความดันโลหิตสูงในข้อใดสามารถช่วยลด SBP ได้มากที่สุด</t>
  </si>
  <si>
    <t>การจำกัดปริมาณโซเดียมในอาหารให้น้อยกว่า 2,300 มก. ต่อวัน</t>
  </si>
  <si>
    <t>การรับประทานอาหารแบบ DASH (Dietary Approaches to Stop Hypertension)</t>
  </si>
  <si>
    <t>การออกกำลังกายอย่างสม่ำเสมอ</t>
  </si>
  <si>
    <t>การจำกัดปริมาณแอลกอัอล์ (ผู้หญิงไม่เกิน 1 ดื่มมาตรฐาน/วัน ผู้ชายไม่เกิน 2 ดื่มมาตรฐาน/วัน)</t>
  </si>
  <si>
    <t>การหยุดบุหรี่</t>
  </si>
  <si>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</si>
  <si>
    <t>ข้อ 9 (PLE_CC1_Practice_Exam.md)</t>
  </si>
  <si>
    <t>ยาลดความดันโลหิตในกลุ่มใดมีข้อห้ามใช้ในคนไข้ที่มีภาวะหัวใจล้มเหลว</t>
  </si>
  <si>
    <t>ARBs</t>
  </si>
  <si>
    <t>Diuretics</t>
  </si>
  <si>
    <t>non-DHP CCBs</t>
  </si>
  <si>
    <t>Beta-blockers</t>
  </si>
  <si>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</si>
  <si>
    <t>ข้อ 10 (PLE_CC1_Practice_Exam.md)</t>
  </si>
  <si>
    <t>ระดับ LDL-C ของผู้ป่วยรายนี้มีค่าเท่าไหร่</t>
  </si>
  <si>
    <t>140 mg/dL</t>
  </si>
  <si>
    <t>220 mg/dL</t>
  </si>
  <si>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</si>
  <si>
    <t>ยา Simvastatin สามารถลดระดับไขมันในเลือดได้อย่างไร</t>
  </si>
  <si>
    <t>ยับยั้งการดูดซึม cholesterol จากทางเดินอาหาร</t>
  </si>
  <si>
    <t>กระตุ้นการทำงานของเอนไซม์ lipolipase</t>
  </si>
  <si>
    <t>เพิ่มการสร้าง LDL receptor ที่ตับ</t>
  </si>
  <si>
    <t>ยับยั้งกระบวนการ gluconeogenesis ที่ตับ</t>
  </si>
  <si>
    <t>เพิ่มการสร้าง VLDL-C จากตับ</t>
  </si>
  <si>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</si>
  <si>
    <t>ข้อ 3 (PLE_CC1_Practice_Exam.md)</t>
  </si>
  <si>
    <t>การรักษาผู้ป่วยรายนี้ต้องจะลดระดับ LDL-C ให้ได้เท่าไหร่ เพื่อป้องกัน Atherosclerosis</t>
  </si>
  <si>
    <t>น้อยกว่า 70 mg/dL</t>
  </si>
  <si>
    <t>น้อยกว่า 100 mg/dL</t>
  </si>
  <si>
    <t>น้อยกว่า 130 mg/dL</t>
  </si>
  <si>
    <t>น้อยกว่า 160 mg/dL</t>
  </si>
  <si>
    <t>น้อยกว่า 190 mg/dL</t>
  </si>
  <si>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</si>
  <si>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</si>
  <si>
    <t>ปรับเพิ่มขนาดยา Simvastatin เป็น 40 mg ต่อวัน</t>
  </si>
  <si>
    <t>ปรับลดขนาดยา Simvastatin เป็น 10 mg ต่อวัน และเพิ่มยา Niacin</t>
  </si>
  <si>
    <t>ปรับลดขนาดยา Simvastatin เป็น 10 mg ต่อวัน และเพิ่มยา Ezetimibe</t>
  </si>
  <si>
    <t>ปรับลดขนาดยา Simvastatin เป็น 10 mg ต่อวัน และเพิ่ม Fish oil 1 g ต่อวัน</t>
  </si>
  <si>
    <t>เปลี่ยนยา Simvastatin เป็น Atorvastatin 40 mg ต่อวัน</t>
  </si>
  <si>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</si>
  <si>
    <t>ข้อ 6 (PLE_CC1_Practice_Exam.md)</t>
  </si>
  <si>
    <t>หากผู้ป่วยมักลืมรับประทาน Simvastatin ตอนก่อนนอน การแก้ไขป็ญหาในข้อใดเหมาะสมที่สุด</t>
  </si>
  <si>
    <t>รับประทานทันทีที่นึกขึ้นได้</t>
  </si>
  <si>
    <t>เปลี่ยนไปรับประทานตอนเช้า</t>
  </si>
  <si>
    <t>เปลี่ยนไปรับประทานตอนกลางวัน</t>
  </si>
  <si>
    <t>เปลี่ยนไปรับประทานตอนเย็น</t>
  </si>
  <si>
    <t>กำชับผู้ป่วยว่าไม่ควรลืม เนื่องจาก simvastatin ต้องรับประทานก่อนนอนเท่านั้น</t>
  </si>
  <si>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</si>
  <si>
    <t>ข้อใดกล่าวถึง Furosemide ได้อย่างถูกต้องในผู้ป่วยรายนี้</t>
  </si>
  <si>
    <t>ช่วยลดอัตราการเสียชีวิต</t>
  </si>
  <si>
    <t>ไม่ควรใช้ร่วมกับ Enalapril</t>
  </si>
  <si>
    <t>การใช้ร่วมกับ HCTZ อาจทำให้เกิด Diuretic resistance</t>
  </si>
  <si>
    <t>มีประสิทธิภาพในการบรรเทาอาการโรคหัวใจล้มเหลวดีกว่า HCTZ</t>
  </si>
  <si>
    <t>ออกฤทธิ์ยับยั้งการดูดกลับ NaCl ที่ distal tubule</t>
  </si>
  <si>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</si>
  <si>
    <t>ยา Enalapril มี half-life เท่ากับ 11 ชั่วโมง ค่า Ke ของยานี้เท่ากับเท่าไหร่ (hr-1)</t>
  </si>
  <si>
    <t>0.06</t>
  </si>
  <si>
    <t>0.063</t>
  </si>
  <si>
    <t>0.067</t>
  </si>
  <si>
    <t>0.07</t>
  </si>
  <si>
    <t>0.075</t>
  </si>
  <si>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</si>
  <si>
    <t>ยาใดที่ไม่มีผลลดอัตราการตายสำหรับผู้ป่วยหัวใจขาดเลือด</t>
  </si>
  <si>
    <t>Clopidogrel</t>
  </si>
  <si>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</si>
  <si>
    <t>Aspirin และ Clopidogrel แตกต่างกันอย่างไร</t>
  </si>
  <si>
    <t>มี site of action ที่แตกต่างกัน</t>
  </si>
  <si>
    <t>Aspirin เป็น Antiplatelets ส่วน Clopidogrel เป็น anticoagulants</t>
  </si>
  <si>
    <t>Aspirin เป็น Anticoagulants ส่วน Clopidogrel เป็น antiplatelet</t>
  </si>
  <si>
    <t>หวังผลการรักษาที่แตกต่างกัน</t>
  </si>
  <si>
    <t>ยาทั้งคู่ไม่แตกต่างกัน</t>
  </si>
  <si>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</si>
  <si>
    <t>ข้อใดผิดเกี่ยวกับยา Beta-blockers กับโรคหัวใจขาดเลือด</t>
  </si>
  <si>
    <t>สำหรับผู้ป่วยภาวะหัวใจขาดเลือดเฉียบพลันทุกรายที่ไม่มีข้อห้ามใช้</t>
  </si>
  <si>
    <t>เป้าหมายการรักษาคือ HR ขณะพักอยู่ในช่วง 60-80 beats/min</t>
  </si>
  <si>
    <t>เพื่อควบคุมอาการเจ็บเค้นหน้าอก</t>
  </si>
  <si>
    <t>สามารถใช้ Propranolol ได้</t>
  </si>
  <si>
    <t>มีข้อห้ามใช้ในผู้ป่วยที่มีโรคหอบหืด หรือภาวะปอดอุดกั้นเรื้อรัง</t>
  </si>
  <si>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</si>
  <si>
    <t>Mock Pharmtutor 2024</t>
  </si>
  <si>
    <t>โรคใดไม่ใช่ป็จจัยเสี่ยงในการเกิดโรคหัวใจขาดเลือด</t>
  </si>
  <si>
    <t>โรคไต</t>
  </si>
  <si>
    <t>โรคความดันโลหิตสูง</t>
  </si>
  <si>
    <t>โรคเบาหวาน</t>
  </si>
  <si>
    <t>โรคอ้วน</t>
  </si>
  <si>
    <t>โรคไขมันในเลือดผิดปกติ</t>
  </si>
  <si>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</si>
  <si>
    <t>ยาตัวใดที่ใช้ร่วมกับ simvastatin แล้วทำให้เกิด rhabdomyolysis มากที่สุด</t>
  </si>
  <si>
    <t>Rifampin</t>
  </si>
  <si>
    <t>Captopril</t>
  </si>
  <si>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</si>
  <si>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</si>
  <si>
    <t>Furosemide ร่วมกับ Amlodipine</t>
  </si>
  <si>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</si>
  <si>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</si>
  <si>
    <t>Gemﬁbrozil</t>
  </si>
  <si>
    <t>Nicotinic acid</t>
  </si>
  <si>
    <t>Fish oil</t>
  </si>
  <si>
    <t>Cholestyramin</t>
  </si>
  <si>
    <t>Ezetimibe ตาม 2016 ACC guideline แนะนำให$เพิ่ม Ezetimibe ในผู$ป&amp;วยที่ได$รับ Statins แตGยังไมGสามารถควบคุม LDL ให$อยูGในชGวงเปนาหมายได$</t>
  </si>
  <si>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</si>
  <si>
    <t>ข้อ 30 (PLE_CC1_Key_Rx20_UBU.md)</t>
  </si>
  <si>
    <t>NSAIDs อะไรที่สงผลเสียต่อหัวใจน้อยที่สุด</t>
  </si>
  <si>
    <t>Diclofanac</t>
  </si>
  <si>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</si>
  <si>
    <t>ข้อ 3 (PLE_CC1_Key_Rx20_UBU.md)</t>
  </si>
  <si>
    <t>หากเกิด Angioedema จาก Enalapril ควรทำอย่างไร</t>
  </si>
  <si>
    <t>ใช้ Enalapril ต่อไป อาการจะเริ่มดีขึ้น พร้อมติดตามอย่างใกล้ชิด</t>
  </si>
  <si>
    <t>หยุดยาจนหาย แล้วลองใช้อีกครั้ง ร่วมกับต้องติดตามอย่างใกล้ชิด</t>
  </si>
  <si>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</si>
  <si>
    <t>ข้อ 40 (PLE_CC1_Key_Rx20_UBU.md)</t>
  </si>
  <si>
    <t>ข้อใด คืออาการไม่พึงประสงค์ของ Enalapril</t>
  </si>
  <si>
    <t>Pakinsonism</t>
  </si>
  <si>
    <t>Hypokalemia</t>
  </si>
  <si>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</si>
  <si>
    <t>ข้อ 41 (PLE_CC1_Key_Rx20_UBU.md)</t>
  </si>
  <si>
    <t>ยาใดทำให้เกิด Hyperkalemia</t>
  </si>
  <si>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</si>
  <si>
    <t>ข้อ 56 (PLE_CC1_Key_Rx20_UBU.md)</t>
  </si>
  <si>
    <t>ผู้ป่วยรายนี้ควรรักษา hyperkalemia ด้วยวิธีใด</t>
  </si>
  <si>
    <t>ฉีด Insulin+glucose</t>
  </si>
  <si>
    <t>ฟอกไต</t>
  </si>
  <si>
    <t>ไม่ต้องให้การรักษา</t>
  </si>
  <si>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</si>
  <si>
    <t>ข้อ 58 (PLE_CC1_Key_Rx20_UBU.md)</t>
  </si>
  <si>
    <t>อีก 3 เดือนต่อมาผู้ป่วยเป็น Acute kidney injury on top CKD และมีภาวะ Hyperkalemia ยาใดที่เป็น Ion exchange ในการรักษาภาวะ hyperkalemia นี้</t>
  </si>
  <si>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</si>
  <si>
    <t>ข้อ 61 (PLE_CC1_Key_Rx20_UBU.md)</t>
  </si>
  <si>
    <t>ปัจจัยใดทำให้ผู้ป่วยได้รับ Aspirin</t>
  </si>
  <si>
    <t>ไม่ออกกาลังกาย</t>
  </si>
  <si>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</si>
  <si>
    <t>ข้อ 76 (PLE_CC1_Key_Rx20_UBU.md)</t>
  </si>
  <si>
    <t>ต่อมาผู้ป่วยเป็น CKD, eGFR 28 ml/min, BP 150/90 ควรให้ยาลดความดันใด</t>
  </si>
  <si>
    <t>Carvedilol หรือมีประวัติแพ้ยา(angioedema) Furosemide Hydralazine Carvedilol ไมไ่ด้เป็นทางเลือกแรกในการเลือกใช้ , HCTZ ไม่มี eff ใน pt. CrCL &lt; 30 ml/min</t>
  </si>
  <si>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</si>
  <si>
    <t>ข้อ 22 (PLE_CC1_Key_Rx20_UBU.md)</t>
  </si>
  <si>
    <t>โครงสร้าง Simvastatin โครงสร้างส่วนใด เปลี่ยนเป็น Active form แล้วจับกับ Target</t>
  </si>
  <si>
    <t>Six-membered lactone ring</t>
  </si>
  <si>
    <t>naphthalenyl ester</t>
  </si>
  <si>
    <t>3’</t>
  </si>
  <si>
    <t>8’</t>
  </si>
  <si>
    <t>2’-methyl group</t>
  </si>
  <si>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</si>
  <si>
    <t>ข้อ 95 (PLE_CC1_Key_Rx20_UBU.md)</t>
  </si>
  <si>
    <t>โครงสร้าง Amlodipine ข้อใดผิด</t>
  </si>
  <si>
    <t>เป็น amphoteric compount</t>
  </si>
  <si>
    <t>มีตำแหน่งที่ 4 เป็น chiral carbon</t>
  </si>
  <si>
    <t>ทำเป็น sodium salt เพื่อความคงตัว</t>
  </si>
  <si>
    <t>เป็น 1,4-Dihydropyridine calcium channel blocker</t>
  </si>
  <si>
    <t>pKa เท่ากับ 7.4</t>
  </si>
  <si>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</si>
  <si>
    <t>ข้อ 96 (PLE_CC1_Key_Rx20_UBU.md)</t>
  </si>
  <si>
    <t>ยาตัวใดต่อไปนี้มีฤทธิ์ยับยั้งผลของ Angiotensin II ได้ดีและตรงจุดที่สุดที่ระดับตัวรับ (Receptor)</t>
  </si>
  <si>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</si>
  <si>
    <t>Mock กฎหมาย CU71</t>
  </si>
  <si>
    <t>ปี 2556</t>
  </si>
  <si>
    <t>ปี 2555</t>
  </si>
  <si>
    <t>ปี 2554</t>
  </si>
  <si>
    <t>ปี 2547</t>
  </si>
  <si>
    <t>ปี 2533</t>
  </si>
  <si>
    <t>Mock สภาเภสัชฯ Practice</t>
  </si>
  <si>
    <t>Mock Rx20 UBU</t>
  </si>
  <si>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</si>
  <si>
    <t>เคยใช้ยารักษาสิวใดมาก่อนหรือไม่</t>
  </si>
  <si>
    <t>รับประทานยาคุมกำเนิดอยู่หรือไม่</t>
  </si>
  <si>
    <t>ออกกำลังกายโดยวิธีใด</t>
  </si>
  <si>
    <t>เคยมีประวัติแพ้หรือเครื่องสำอางใดมาก่อนหรือไม่</t>
  </si>
  <si>
    <t>กำลังตั้งครรภ์อยู่หรือไม่ หรือวางแผนจะมีบุตรในช่วงนี้หรือไม่</t>
  </si>
  <si>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</si>
  <si>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Acne</t>
  </si>
  <si>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</si>
  <si>
    <t>Chloramphenicol</t>
  </si>
  <si>
    <t>Tetracycline</t>
  </si>
  <si>
    <t>Roxithromycin</t>
  </si>
  <si>
    <t>Norfloxacin</t>
  </si>
  <si>
    <t>Azithromycin</t>
  </si>
  <si>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</si>
  <si>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 Pharma Plus เล่มม่วง (เฉลยข้อ ข)</t>
  </si>
  <si>
    <t>กลไกการออกฤทธิ์ของยาในข้อ 2 เป็นอย่างไร</t>
  </si>
  <si>
    <t>ขัดขวางการสร้างผนังเซลล์ของเชื้อแบคทีเรีย ทำให้เซลล์แตกง่าย</t>
  </si>
  <si>
    <t>ยับยั้งการสร้าง folate ซึ่งจำเป็นต่อการสร้าง DNA ของเชื้อแบคทีเรีย</t>
  </si>
  <si>
    <t>ยับยั้งการสร้างไขมันของเชื้อ</t>
  </si>
  <si>
    <t>ยับยั้งการสร้างโปรตีนที่ 30S</t>
  </si>
  <si>
    <t>ยับยั้งการสร้างโปรตีนที่ 50S</t>
  </si>
  <si>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</si>
  <si>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 Pharma Plus เล่มม่วง (เฉลยข้อ จ)</t>
  </si>
  <si>
    <t>ยาทา (topical) ใดที่ไม่มีฤทธิ์ antibacterial</t>
  </si>
  <si>
    <t>Erythromycin cream</t>
  </si>
  <si>
    <t>Benzoyl peroxide gel</t>
  </si>
  <si>
    <t>Adapalene gel</t>
  </si>
  <si>
    <t>Azelaic acid cream</t>
  </si>
  <si>
    <t>Clindamycin gel</t>
  </si>
  <si>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</si>
  <si>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4 Pharma Plus เล่มม่วง (เฉลยข้อ ค)</t>
  </si>
  <si>
    <t>คำแนะนำเกี่ยวกับยา ATB ชนิดกินเพื่อรักษาสิวในผู้ป่วยรายนี้ ข้อใดผิด</t>
  </si>
  <si>
    <t>ควรกินต่อเนื่อง 3-4 เดือน</t>
  </si>
  <si>
    <t>ผลข้างเคียงที่พบได้บ่อยคือ N/V</t>
  </si>
  <si>
    <t>จะเริ่มเห็นผลของยาในเวลา 3-4 weeks</t>
  </si>
  <si>
    <t>การใช้ยาจะเริ่มขนาดต่ำ ๆ แล้วค่อยเพิ่มขนาดสูงขึ้น</t>
  </si>
  <si>
    <t>อาจทำให้การคุมกำเนิดด้วย OC ไม่ได้ผล</t>
  </si>
  <si>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</si>
  <si>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 5 Pharma Plus เล่มม่วง (เฉลยข้อ ง)</t>
  </si>
  <si>
    <t>เภสัชกรจ่ายยาทา isotretinoin ให้กับผู้ป่วย ข้อแนะนำใดที่ให้กับผู้ป่วยไม่ถูกต้อง</t>
  </si>
  <si>
    <t>ทายาวันละ 1 ครั้ง ตอนเช้าโดยไม่ให้ใช้ร่วมกับครีมกันแดด</t>
  </si>
  <si>
    <t>อาจทำให้สิวมากขึ้นในช่วง 3-4 สัปดาห์แรกที่ใช้ยา</t>
  </si>
  <si>
    <t>ทายาทั่วหน้า ระวังอย่าให้เข้าตา</t>
  </si>
  <si>
    <t>อาจเกิดอาการข้างเคียง คือ หน้าแดง แสบ แห้งและลอก</t>
  </si>
  <si>
    <t>ยาจะได้ผลดีเมื่อใช้ประมาณ 3-4 เดือน</t>
  </si>
  <si>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</si>
  <si>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6 Pharma Plus เล่มม่วง (เฉลยข้อ ก)</t>
  </si>
  <si>
    <t>ยา isotretinoin มีข้อควรระวังที่สำคัญในผู้ป่วยรายนี้คือข้อใด</t>
  </si>
  <si>
    <t>Cardiac arrhythmia</t>
  </si>
  <si>
    <t>Hemorrhagic stroke</t>
  </si>
  <si>
    <t>Teratogenic effect</t>
  </si>
  <si>
    <t>Subarachnoid hemorrhage</t>
  </si>
  <si>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</si>
  <si>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ผู้ป่วยหญิงไทย อายุ 28 ปี มาพบเภสัชกรที่ร้านยา เพื่อซื้อยารักษาสิว ข้อใดสัมพันธ์กับการเกิดสิวน้อยที่สุด</t>
  </si>
  <si>
    <t>พันธุกรรม</t>
  </si>
  <si>
    <t>ยา steroid</t>
  </si>
  <si>
    <t>ฮอร์โมนเพศไม่สมดุล</t>
  </si>
  <si>
    <t>ภาวะเครียด</t>
  </si>
  <si>
    <t>อาหารประเภทโปรตีนสูง</t>
  </si>
  <si>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</si>
  <si>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ข้อใดผิดเกี่ยวกับวิธีการรักษาสิว</t>
  </si>
  <si>
    <t>การลดการทำงานของต่อมไขมัน</t>
  </si>
  <si>
    <t>สิวอักเสบและสิวไม่อักเสบ มีวิธีการรักษาแตกต่างกัน</t>
  </si>
  <si>
    <t>การรักษาสิวที่ดีต้องเริ่มต้นด้วย systemic antibiotic เท่านั้น</t>
  </si>
  <si>
    <t>มีฮอร์โมนบางชนิดใช้รักษาสิวได้</t>
  </si>
  <si>
    <t>การใช้ antibiotic รักษาต้องใช้ติดต่อกันเป็นระยะยาว</t>
  </si>
  <si>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</si>
  <si>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ข้อใดผิดเกี่ยวกับ Isotretinoin ชนิดรับประทาน</t>
  </si>
  <si>
    <t>เป็นอนุพันธ์ของ vitamin A ที่ดูดซึมได้ในทางเดินอาหาร</t>
  </si>
  <si>
    <t>จัดเป็น drug of choice สำหรับการรักษาสิว</t>
  </si>
  <si>
    <t>ใช้ได้กับสิวที่ไม่ตอบสนองต่อการรักษาด้วยวิธีอื่น</t>
  </si>
  <si>
    <t>ห้ามใช้ในคนไข้ที่ตั้งครรภ์</t>
  </si>
  <si>
    <t>ทำให้ระดับ serum triglyceride สูงขึ้น</t>
  </si>
  <si>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</si>
  <si>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10 Pharma Plus เล่มม่วง (เฉลยข้อ ข)</t>
  </si>
  <si>
    <t>ข้อใดผิดเกี่ยวกับการใช้ฮอร์โมนรักษาสิว</t>
  </si>
  <si>
    <t>ใช้ยาคุมกำเนิดที่มี cyproterone เป็นส่วนประกอบ เช่น Yasmin</t>
  </si>
  <si>
    <t>Spironolactone ออกฤทธิ์ต้าน androgen ซึ่งจะทำให้ขนาดของต่อมไขมันและปริมาณของไขมันลดลง</t>
  </si>
  <si>
    <t>Spironolactone ไม่ควรใช้ในผู้ชาย เนื่องจากทำให้เกิดอาการ loss of libido และ gynecomastia</t>
  </si>
  <si>
    <t>การใช้ฮอร์โมนรักษาสิวควรพิจารณาในผู้หญิงที่มีสิวและมีภาวะอื่นของ hyperandrogen เช่น hirsutism</t>
  </si>
  <si>
    <t>ปริมาณของ ethinyl estradiol (EE) ที่ใช้คือ 0.02-0.035 mg</t>
  </si>
  <si>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</si>
  <si>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ถ้าเภสัชกรพิจารณาให้ยา tetracycline แก่ผู้ป่วยข้อใดคือคำแนะนำที่ไม่ถูกต้อง</t>
  </si>
  <si>
    <t>ควรหลีกเลี่ยงแสงแดด</t>
  </si>
  <si>
    <t>ไม่ควรรับประทานพร้อมนมหรือยาลดกรด</t>
  </si>
  <si>
    <t>ถ้าเป็นผู้หญิงที่รับประทานยาคุมกำเนิด ควรแนะนำให้คุมกำเนิดวิธีอื่นร่วมด้วย</t>
  </si>
  <si>
    <t>แนะนำให้ใช้ครีมกันแดด</t>
  </si>
  <si>
    <t>สามารถใช้ในหญิงมีครรภ์และหญิงให้นมบุตรได้</t>
  </si>
  <si>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</si>
  <si>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12 Pharma Plus เล่มม่วง (เฉลยข้อ จ)</t>
  </si>
  <si>
    <t>ยาครีม isotretinoin 0.05% cream จัดเป็นยาประเภทใดตาม พรบ.ยา</t>
  </si>
  <si>
    <t>ยาใช้ภายนอกที่ไม่ใช่ยาอันตราย</t>
  </si>
  <si>
    <t>ยาใช้ภายนอกและยาอันตราย</t>
  </si>
  <si>
    <t>ยาใช้ภายนอกและยาควบคุมพิเศษ</t>
  </si>
  <si>
    <t>ยาใช้เฉพาะที่และยาอันตราย</t>
  </si>
  <si>
    <t>ยาใช้เฉพาะที่และยาควบคุมพิเศษ</t>
  </si>
  <si>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</si>
  <si>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</si>
  <si>
    <t>Alkaloid</t>
  </si>
  <si>
    <t>Flavonoid</t>
  </si>
  <si>
    <t>Glycoside</t>
  </si>
  <si>
    <t>Retinoid</t>
  </si>
  <si>
    <t>Terpenoid</t>
  </si>
  <si>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</si>
  <si>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</si>
  <si>
    <t>Isotretinoin ออกฤทธิ์ลดการหลั่ง sebum</t>
  </si>
  <si>
    <t>Benzoyl peroxide ออกฤทธิ์โดยไปย่อย comedone และเร่งการแบ่งตัวของepithelial cell จึงลดการอุดตันของสิว</t>
  </si>
  <si>
    <t>Doxycycline ออกฤทธิ์โดยฆ่าเชื้อ P. acnes แต่ไม่มีฤทธิ์ต้านการทำงานของฮอร์โมนเพศชาย</t>
  </si>
  <si>
    <t>Isotretinoin สามารถเสริมฤทธิ์ต้านการอักเสบของ benzoyl peroxide</t>
  </si>
  <si>
    <t>Clindamycin ออกฤทธิ์ยับยั้งการสร้างไขมัน</t>
  </si>
  <si>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</si>
  <si>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</si>
  <si>
    <t>Anti-inflammation</t>
  </si>
  <si>
    <t>Antimicrobial</t>
  </si>
  <si>
    <t>Antioxidant</t>
  </si>
  <si>
    <t>Astringent</t>
  </si>
  <si>
    <t>Comedolytic</t>
  </si>
  <si>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</si>
  <si>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16 Pharma Plus เล่มม่วง (เฉลยข้อ จ)</t>
  </si>
  <si>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</si>
  <si>
    <t>Comedonal acne</t>
  </si>
  <si>
    <t>Non-inflammatory acne</t>
  </si>
  <si>
    <t>Papular acne</t>
  </si>
  <si>
    <t>Pustule acne</t>
  </si>
  <si>
    <t>Nodulocystic acne</t>
  </si>
  <si>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</si>
  <si>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17 Pharma Plus เล่มม่วง (เฉลยข้อ จ)</t>
  </si>
  <si>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</si>
  <si>
    <t>ขนาดยารวมในผู้ป่วยปกติคือ 120-150 มก./กก.</t>
  </si>
  <si>
    <t>ผู้หญิงที่รับประทานยานี้ต้องคุมกำเนิดโดยวิธีอื่น ๆ ยกเว้นการรับประทานยาคุมกำเนิด</t>
  </si>
  <si>
    <t>ผู้ป่วยควรหลีกเลี่ยงการถูกแสงแดด เนื่องจากอาจเกิดภาวะผิวหนังไวต่อแสง</t>
  </si>
  <si>
    <t>อาการข้างเคียงที่พบได้บ่อยได้แก่ หน้าแห้ง ริมฝีปากลอก</t>
  </si>
  <si>
    <t>อาจมีระดับไตรกลีเซอไรด์ในเลือดสูง</t>
  </si>
  <si>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</si>
  <si>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18 Pharma Plus เล่มม่วง (เฉลยข้อ ข)</t>
  </si>
  <si>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</si>
  <si>
    <t>Chloramphenicol gel</t>
  </si>
  <si>
    <t>Benzoyl peroxide cream</t>
  </si>
  <si>
    <t>Benzoyl peroxide hydrophase gel</t>
  </si>
  <si>
    <t>Isotretinoin cream</t>
  </si>
  <si>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</si>
  <si>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19 Pharma Plus เล่มม่วง (เฉลยข้อ ข)</t>
  </si>
  <si>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</si>
  <si>
    <t>สิวเป็นความผิดปกติของผิวหนังที่พบการอักเสบของรูขุมขนและต่อมไขมัน (Pilosebaceous unit)</t>
  </si>
  <si>
    <t>ภาวะที่ร่างกายมีฮอร์โมน estrogen สูงขึ้นจะทำให้การหลั่ง chemotactic factors สำหรับ PMN เพิ่มขึ้น</t>
  </si>
  <si>
    <t>P. acnes จะย่อยสลาย sebum ให้เป็น glycerol และ free fatty acid ซึ่ง glycerol จะระคายเคืองและทำให้เกิดการอักเสบของผิวหนัง</t>
  </si>
  <si>
    <t>ส่วนประกอบสำคัญในยาคุมกำเนิดที่กระตุ้นทำให้เกิดสิวคือ ฮอร์โมน progesterone</t>
  </si>
  <si>
    <t>กรณีที่ follicular canal มีการขยายตัว จะเป็นสิวชนิด open comedone ซึ่งมักมีการอักเสbร่วมด้วย</t>
  </si>
  <si>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</si>
  <si>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20 Pharma Plus เล่มม่วง (เฉลยข้อ ก)</t>
  </si>
  <si>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</si>
  <si>
    <t>การรับประทานยาฆ่าเชื้อ</t>
  </si>
  <si>
    <t>การอดนอน</t>
  </si>
  <si>
    <t>การดื่มน้ำอัดลม</t>
  </si>
  <si>
    <t>มีฮอร์โมน androgen</t>
  </si>
  <si>
    <t>การที่ประจำเดือนมาไม่สม่ำเสมอ</t>
  </si>
  <si>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</si>
  <si>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ข้อใดถูกต้องเกี่ยวกับการรักษาสิว</t>
  </si>
  <si>
    <t>เป้าหมายของการรักษาคือเพื่อรักษาสิวและป้องกันการเกิดสิวขึ้นเพิ่ม</t>
  </si>
  <si>
    <t>หลักการรักษาคือ การกำจัดความมันบนใบหน้าให้หมดไปโดยสิ้นเชิง</t>
  </si>
  <si>
    <t>ผู้ป่วยทุกรายที่เป็นสิวควรได้รับยาต้านจุลชีพชนิดรับประทาน</t>
  </si>
  <si>
    <t>การใช้ยาเฉพาะที่ต้องให้เพียงชนิดใดชนิดหนึ่งเพียงอย่างเดียว</t>
  </si>
  <si>
    <t>ผู้ป่วยหญิงที่เป็นสิวทุกรายควรได้รับยาที่มีฤทธิ์ต้านฮอร์โมนโครโดเจน</t>
  </si>
  <si>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</si>
  <si>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22 Pharma Plus เล่มม่วง (เฉลยข้อ ก)</t>
  </si>
  <si>
    <t>ผู้ป่วยรายนี้ควรได้รับยาใดในการรักษาสิว จึงจะเหมาะสมที่สุด</t>
  </si>
  <si>
    <t>รับประทานยา antibacterial ร่วมกับทายา isotretinoin</t>
  </si>
  <si>
    <t>รับประทานยา antibacterial ร่วมกับทายา benzoyl peroxide</t>
  </si>
  <si>
    <t>รับประทานยา tretinoin ร่วมกับทายา antibacterial</t>
  </si>
  <si>
    <t>ทายา isotretinoin ร่วมกับทายา antibacterial</t>
  </si>
  <si>
    <t>ทายา isotretinoin ร่วมกับทายา benzoyl peroxide</t>
  </si>
  <si>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</si>
  <si>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23 Pharma Plus เล่มม่วง (เฉลยข้อ ก ข)</t>
  </si>
  <si>
    <t>ข้อใดไม่ถูกต้องเกี่ยวกับรักษาสิว</t>
  </si>
  <si>
    <t>Benzoyl peroxide เป็นยาที่มี antibacterial effect เป็นหลัก ฤทธิ์รองลงมาเป็น comedolytic และ exfoliative effect</t>
  </si>
  <si>
    <t>Isotretinoin และ tretinoin เป็นอนุพันธ์ของ retinoid ที่มี comedolytic effect</t>
  </si>
  <si>
    <t>Systemic antibacterial ที่ได้ผลดีในการรักษาสิวอักเสบคือ tetracycline, erythromycin และ clindamycin</t>
  </si>
  <si>
    <t>การใช้ benzoyl peroxide ร่วมกับ tretinoin จะช่วยเสริมฤทธิ์กันได้ดี</t>
  </si>
  <si>
    <t>Cyproterone acetate เป็น progesterone ที่มี anti-androgenic effect เนื่องจากไปแย่งจับตัวรับของ dihydrotestosterone</t>
  </si>
  <si>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</si>
  <si>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24 Pharma Plus เล่มม่วง (เฉลยข้อ ง)</t>
  </si>
  <si>
    <t>คำแนะนำในการรักษาสิวที่ไม่เหมาะสมคือ</t>
  </si>
  <si>
    <t>การทา benzoyl peroxide ในขณะที่ยังล้างหน้าไม่แห้งสนิทจะช่วยเพิ่มการระคายเคือง</t>
  </si>
  <si>
    <t>ควรทา antibacterial agent หลังล้างหน้าเพื่อให้สามารถดูดซึมเข้าสู่ผิวหนังได้ดี</t>
  </si>
  <si>
    <t>ควรทา tretinoin ในขณะผิวแห้ง โดยกรณีที่ผู้ป่วยมีผิวมัน ควรเลือกใช้ผลิตภัณฑ์ที่เป็นครีม</t>
  </si>
  <si>
    <t>ไม่ควรให้สตรีมีครรภ์รับประทานยา isotretinoin เนื่องจากอาจมีผลเสียต่อทารกในครรภ์</t>
  </si>
  <si>
    <t>ผู้ป่วยที่ทายา adapalene ควรหลีกเลี่ยงแสงแดด และไม่ควรใช้ยานี้ในสตรีมีครรภ์หรือให้นมบุตร</t>
  </si>
  <si>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</si>
  <si>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25 Pharma Plus เล่มม่วง (เฉลยข้อ ข)</t>
  </si>
  <si>
    <t>ท่านจะแนะนำผลิตภัณฑ์ที่ใช้ทาหน้าที่มีส่วนผสมจากสมุนไพรในข้อใดเพื่อใช้ร่วมกับยารักษาสิวเพื่อป้องกันไม่ให้เกิดแผลเป็น</t>
  </si>
  <si>
    <t>บัวบก</t>
  </si>
  <si>
    <t>ว่านหางจระเข้</t>
  </si>
  <si>
    <t>หม่อน</t>
  </si>
  <si>
    <t>แตงกวา</t>
  </si>
  <si>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</si>
  <si>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26 Pharma Plus เล่มม่วง (เฉลยข้อ ก)</t>
  </si>
  <si>
    <t>อาหารประเภทใดที่ต้องแนะนำให้ผู้ป่วยรายนี้งดหรือบริโภคให้น้อยลง</t>
  </si>
  <si>
    <t>อาหารที่มีไขมันและคาร์โบไฮเดรตสูง</t>
  </si>
  <si>
    <t>อาหารที่มีโปรตีนและไฟเบอร์สูง</t>
  </si>
  <si>
    <t>อาหารที่มีวิตามิน และ แร่ธาตุสูง</t>
  </si>
  <si>
    <t>อาหารที่มีเกลือและวิตามินสูง</t>
  </si>
  <si>
    <t>อาหารที่มีรสเผ็ดและรสเปรี้ยว</t>
  </si>
  <si>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</si>
  <si>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27 Pharma Plus เล่มม่วง (เฉลยข้อ ก)</t>
  </si>
  <si>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</si>
  <si>
    <t>Norethindrone acetate 3 mg &amp; ethinylestradiol 0.05 mg</t>
  </si>
  <si>
    <t>Desogestrel 0.15 mg &amp; ethinylestradiol 0.03 mg</t>
  </si>
  <si>
    <t>Ethynodiol diacetate 1 mg &amp; ethinylestradiol 0.045 mg</t>
  </si>
  <si>
    <t>Cyproterone acetate 2 mg &amp; ethinylestradiol 0.035 mg</t>
  </si>
  <si>
    <t>Levonorgestrel 0.15 mg &amp; ethinylestradiol 0.025 mg</t>
  </si>
  <si>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</si>
  <si>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28 Pharma Plus เล่มม่วง (เฉลยข้อ ง)</t>
  </si>
  <si>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</si>
  <si>
    <t>Aloe vera gel</t>
  </si>
  <si>
    <t>Mupirocin ointment</t>
  </si>
  <si>
    <t>Gentamicin cream</t>
  </si>
  <si>
    <t>Silver sulfadiazine cream</t>
  </si>
  <si>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</si>
  <si>
    <t>Wound</t>
  </si>
  <si>
    <t>Mupirocin ointment มีข้อดีกว่า gentamicin cream อย่างไร</t>
  </si>
  <si>
    <t>มีคุณสมบัติครอบคลุมเชื้อกลุ่ม anaerobic</t>
  </si>
  <si>
    <t>มีคุณสมบัติครอบคลุมเชื้อ MRSA</t>
  </si>
  <si>
    <t>มีคุณสมบัติครอบคลุมเชื้อ Pseudomonas aeruginosa</t>
  </si>
  <si>
    <t>ระคายเคืองน้อยกว่าและหายเร็วกว่า</t>
  </si>
  <si>
    <t>ดูดซึมเข้าผิวหนังได้ดี ใช้ในการติดเชื้อที่บริเวณผิวหนัง</t>
  </si>
  <si>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</si>
  <si>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30 Pharma Plus เล่มม่วง (เฉลยข้อ ข)</t>
  </si>
  <si>
    <t>สมุนไพรใดนำมาใช้รักษาแผลเป็น</t>
  </si>
  <si>
    <t>หอมหัวใหญ่</t>
  </si>
  <si>
    <t>กระเทียม</t>
  </si>
  <si>
    <t>พริกไทย</t>
  </si>
  <si>
    <t>มะกรูด</t>
  </si>
  <si>
    <t>ข่า</t>
  </si>
  <si>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</si>
  <si>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31 Pharma Plus เล่มม่วง (เฉลยข้อ ก)</t>
  </si>
  <si>
    <t>สมุนไพรใดที่นำมาใช้เพื่อสมานแผล</t>
  </si>
  <si>
    <t>ขมิ้น</t>
  </si>
  <si>
    <t>ทองพันชั่ง</t>
  </si>
  <si>
    <t>สะระแหน่</t>
  </si>
  <si>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</si>
  <si>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32 Pharma Plus เล่มม่วง (เฉลยข้อ ข)</t>
  </si>
  <si>
    <t>อีก 1 สัปดาห์ต่อมา ผู้ป่วยมีภาวะแทรกซ้อน คือ cellulitis ได้เข้ารับการรักษาที่โรงพยาบาล ผู้ป่วยควรได้รับยาใด</t>
  </si>
  <si>
    <t>Amoxicillin รับประทาน</t>
  </si>
  <si>
    <t>Cefdinir รับประทาน</t>
  </si>
  <si>
    <t>Ceftriaxone ฉีด</t>
  </si>
  <si>
    <t>Cloxacillin รับประทาน</t>
  </si>
  <si>
    <t>Penicillin G ฉีด</t>
  </si>
  <si>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</si>
  <si>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Bacterial Skin Infection</t>
  </si>
  <si>
    <t>ข้อ 33 Pharma Plus เล่มม่วง (เฉลยข้อ ง)</t>
  </si>
  <si>
    <t>ถ้าผู้ป่วย cellulitis แพ้ penicillin ควรให้ยาอะไรแทน</t>
  </si>
  <si>
    <t>Clindamycin</t>
  </si>
  <si>
    <t>Cotrimoxazole</t>
  </si>
  <si>
    <t>Ciprofloxacin</t>
  </si>
  <si>
    <t>Doxycycline</t>
  </si>
  <si>
    <t>Erythromycin</t>
  </si>
  <si>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</si>
  <si>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Superficial fungal</t>
  </si>
  <si>
    <t>ข้อ 34 Pharma Plus เล่มม่วง (เฉลยข้อ ก ข ง)</t>
  </si>
  <si>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</si>
  <si>
    <t>Tinea capitis</t>
  </si>
  <si>
    <t>Tinea corporis</t>
  </si>
  <si>
    <t>Tinea cruris</t>
  </si>
  <si>
    <t>Tinea versicolor</t>
  </si>
  <si>
    <t>Tinea pedis</t>
  </si>
  <si>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</si>
  <si>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35 Pharma Plus เล่มม่วง (เฉลยข้อ ก)</t>
  </si>
  <si>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</si>
  <si>
    <t>14 วัน</t>
  </si>
  <si>
    <t>2 เดือน</t>
  </si>
  <si>
    <t>3 เดือน</t>
  </si>
  <si>
    <t>4 เดือน</t>
  </si>
  <si>
    <t>5 เดือน</t>
  </si>
  <si>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</si>
  <si>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Eczema &amp; Dermatitis</t>
  </si>
  <si>
    <t>ข้อ 36 Pharma Plus เล่มม่วง (เฉลยข้อ ข)</t>
  </si>
  <si>
    <t>ข้อใดคือ กลไกการออกฤทธิ์ของยา griseofulvin</t>
  </si>
  <si>
    <t>ยับยั้งและรบกวนการสังเคราะห์ ergosterol</t>
  </si>
  <si>
    <t>ยับยั้งการสร้าง mycolic acid ใน cell wall</t>
  </si>
  <si>
    <t>ยับยั้งการสร้าง microtubule ของ dermatophytes</t>
  </si>
  <si>
    <t>จับกับ phospholipids ยับยั้งการสร้าง cell wall</t>
  </si>
  <si>
    <t>จับกับ sterol ยับยั้งการสร้างผนังเซลล์</t>
  </si>
  <si>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</si>
  <si>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37 Pharma Plus เล่มม่วง (เฉลยข้อ ค)</t>
  </si>
  <si>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</si>
  <si>
    <t>มีเฉพาะยาฉีดเท่านั้น</t>
  </si>
  <si>
    <t>มีเฉพาะยาใช้ภายนอก</t>
  </si>
  <si>
    <t>มีอาการข้างเคียงน้อย</t>
  </si>
  <si>
    <t>ถูกเมตาบอไลต์ช้า อยู่ในร่างกายได้นาน</t>
  </si>
  <si>
    <t>มีปฏิกิริยาระหว่างยาลดลง</t>
  </si>
  <si>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</si>
  <si>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38 Pharma Plus เล่มม่วง (เฉลยข้อ ง)</t>
  </si>
  <si>
    <t>สถานการณ์ที่ 7 ผู้ป่วยหญิงไทย อายุ 24 ปี อาชีพแม่บ้านทำความสะอาด มาด้วยอาการเป็นเชื้อราที่เล็บ
สาเหตุของโรคเกิดจากเชื้อใด</t>
  </si>
  <si>
    <t>Trichophyton spp.</t>
  </si>
  <si>
    <t>Cryptococcus spp.</t>
  </si>
  <si>
    <t>Malassezia furfur</t>
  </si>
  <si>
    <t>Pneumocystis carinii</t>
  </si>
  <si>
    <t>Staphylococcus aureus</t>
  </si>
  <si>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</si>
  <si>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39 Pharma Plus เล่มม่วง (เฉลยข้อ ก)</t>
  </si>
  <si>
    <t>สถานการณ์ที่ 7 ผู้ป่วยหญิงไทย อายุ 24 ปี อาชีพแม่บ้านทำความสะอาด มาด้วยอาการเป็นเชื้อราที่เล็บ
ควรใช้ยาใดในการรักษา</t>
  </si>
  <si>
    <t>Whitefield's ointment</t>
  </si>
  <si>
    <t>Clotrimazole cream</t>
  </si>
  <si>
    <t>Ciclopirox olamine</t>
  </si>
  <si>
    <t>Selenium sulfide</t>
  </si>
  <si>
    <t>Sulfur dioxide</t>
  </si>
  <si>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</si>
  <si>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</si>
  <si>
    <t>4 สัปดาห์</t>
  </si>
  <si>
    <t>8 เดือน</t>
  </si>
  <si>
    <t>จนกว่าเล็บจะเป็นปกติ</t>
  </si>
  <si>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</si>
  <si>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41 Pharma Plus เล่มม่วง (เฉลยข้อ )</t>
  </si>
  <si>
    <t>ข้อใดไม่ใช่เหตุผลในการให้ยา itraconazole pulse therapy</t>
  </si>
  <si>
    <t>ลดค่าใช้จ่าย</t>
  </si>
  <si>
    <t>ลดอาการอันไม่พึงประสงค์จากการใช้ยา</t>
  </si>
  <si>
    <t>เพิ่ม compliance ในการรักษา</t>
  </si>
  <si>
    <t>การรักษาแบบ pulse therapy ให้ผลการรักษาเหมือนกับการรักษาแบบเดิม</t>
  </si>
  <si>
    <t>ลดปัญหาการดื้อยา</t>
  </si>
  <si>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</si>
  <si>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42 Pharma Plus เล่มม่วง (เฉลยข้อ จ)</t>
  </si>
  <si>
    <t>ถ้าใช้ Itraconazole tablet แล้วการรักษาล้มเหลว จะใช้อะไรในการรักษาได้อีก</t>
  </si>
  <si>
    <t>Griseofulvin</t>
  </si>
  <si>
    <t>Terbinafine</t>
  </si>
  <si>
    <t>Tolnaftate</t>
  </si>
  <si>
    <t>Fluconazole</t>
  </si>
  <si>
    <t>Miconazole</t>
  </si>
  <si>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</si>
  <si>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กลไกการออกฤทธิ์ของยา amphotericin B</t>
  </si>
  <si>
    <t>ยับยั้ง CYP 450</t>
  </si>
  <si>
    <t>ยับยั้งการสร้าง ergosterol</t>
  </si>
  <si>
    <t>จับ ergosterol ทำให้เกิดรูรั่วของ cell membrane</t>
  </si>
  <si>
    <t>ยับยั้งการสร้าง RNA polymerase</t>
  </si>
  <si>
    <t>ยับยั้งการสร้างโปรตีน</t>
  </si>
  <si>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</si>
  <si>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44 Pharma Plus เล่มม่วง (เฉลยข้อ ค)</t>
  </si>
  <si>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</si>
  <si>
    <t>Contact dermatitis</t>
  </si>
  <si>
    <t>Seborrheic dermatitis</t>
  </si>
  <si>
    <t>Dandruff</t>
  </si>
  <si>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</si>
  <si>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45 Pharma Plus เล่มม่วง (เฉลยข้อ ค)</t>
  </si>
  <si>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</si>
  <si>
    <t>Selenium sulfide shampoo</t>
  </si>
  <si>
    <t>Tar shampoo</t>
  </si>
  <si>
    <t>Salicylic acid</t>
  </si>
  <si>
    <t>Topical steroid</t>
  </si>
  <si>
    <t>Ketoconazole shampoo</t>
  </si>
  <si>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</si>
  <si>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46 Pharma Plus เล่มม่วง (เฉลยข้อ ค)</t>
  </si>
  <si>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</si>
  <si>
    <t>0.1% betamethasone valerate &lt; 0.05% betamethasone dipropionate &lt; 0.05% clobetasone propionate</t>
  </si>
  <si>
    <t>0.05% clobetasone propionate &lt; 0.1% betamethasone valerate &lt; 0.05% betamethasone dipropionate</t>
  </si>
  <si>
    <t>0.05% betamethasone dipropionate &lt; 0.05% clobetasone propionate &lt; 0.1% betamethasone valerate</t>
  </si>
  <si>
    <t>0.1% betamethasone valerate &lt; 0.1% triamcinolone acetonide &lt; 0.05% clobetasone propionate</t>
  </si>
  <si>
    <t>0.05% clobetasone propionate &lt; 0.1% betamethasone valerate &lt; 0.1% triamcinolone acetonide</t>
  </si>
  <si>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</si>
  <si>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47 Pharma Plus เล่มม่วง (เฉลยข้อ )</t>
  </si>
  <si>
    <t>ข้อใดผิด</t>
  </si>
  <si>
    <t>Ketoconazole shampoo ไม่ควรใช้ในเด็กอายุต่ำกว่า 12 ปี</t>
  </si>
  <si>
    <t>Dandruff สามารถรักษาได้ด้วย topical corticosteroid</t>
  </si>
  <si>
    <t>Sulfur ออกฤทธิ์เป็น keratolytic agent</t>
  </si>
  <si>
    <t>ผลข้างเคียงของ coal tar คือ photosensitivity</t>
  </si>
  <si>
    <t>Selenium sulfide ช่วยลด hyperproliferation ของ cell</t>
  </si>
  <si>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</si>
  <si>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48 Pharma Plus เล่มม่วง (เฉลยข้อ จ)</t>
  </si>
  <si>
    <t>ยาที่ใช้ในโรคผิวหนังของชายผู้นี้ รายการใดที่ผู้ป่วยไม่สามารถเรียกซื้อได้จากเภสัชกรหากไม่มีใบสั่งยาจากแพทย์</t>
  </si>
  <si>
    <t>Coal tar shampoo</t>
  </si>
  <si>
    <t>Dexamethasone cream</t>
  </si>
  <si>
    <t>Betamethasone + salicylic ointment</t>
  </si>
  <si>
    <t>Hydroxyzine tablet 25 mg</t>
  </si>
  <si>
    <t>Methotrexate tab 2.5 mg</t>
  </si>
  <si>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</si>
  <si>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ข้อ 49 Pharma Plus เล่มม่วง (เฉลยข้อ จ)</t>
  </si>
  <si>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</si>
  <si>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</si>
  <si>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50 Pharma Plus เล่มม่วง (เฉลยข้อ ง)</t>
  </si>
  <si>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</si>
  <si>
    <t>Infection</t>
  </si>
  <si>
    <t>Allergic reaction</t>
  </si>
  <si>
    <t>Autoimmune disease</t>
  </si>
  <si>
    <t>Seborrhea inflammation</t>
  </si>
  <si>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</si>
  <si>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51 Pharma Plus เล่มม่วง (เฉลยข้อ ค)</t>
  </si>
  <si>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</si>
  <si>
    <t>Herpes simplex</t>
  </si>
  <si>
    <t>Herpes zoster</t>
  </si>
  <si>
    <t>Varicella</t>
  </si>
  <si>
    <t>Rubella</t>
  </si>
  <si>
    <t>Measles</t>
  </si>
  <si>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</si>
  <si>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52 Pharma Plus เล่มม่วง (เฉลยข้อ ข)</t>
  </si>
  <si>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</si>
  <si>
    <t>ไพล</t>
  </si>
  <si>
    <t>มะระขี้นก</t>
  </si>
  <si>
    <t>ฟ้าทะลายโจร</t>
  </si>
  <si>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</si>
  <si>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หากผู้ป่วยหายจากโรคแล้ว แต่ยังมีอาการปวดอยู่ ควรให้ยาชนิดใดบรรเทาอาการ</t>
  </si>
  <si>
    <t>Amitriptyline</t>
  </si>
  <si>
    <t>ข้อ ข. และ ง.</t>
  </si>
  <si>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</si>
  <si>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54 Pharma Plus เล่มม่วง (เฉลยข้อ ค)</t>
  </si>
  <si>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</si>
  <si>
    <t>Tetracycline capsule, topical clindamycin</t>
  </si>
  <si>
    <t>Tetracycline capsule, benzoyl peroxide gel</t>
  </si>
  <si>
    <t>Tetracycline capsule, oral clindamycin</t>
  </si>
  <si>
    <t>Oral isotretinoin, tetracycline capsule</t>
  </si>
  <si>
    <t>Topical retinoid, benzoyl peroxide gel</t>
  </si>
  <si>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</si>
  <si>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55 Pharma Plus เล่มม่วง (เฉลยข้อ ข)</t>
  </si>
  <si>
    <t>Isotretinoin จัดอยู่ใน Pregnancy category อะไร</t>
  </si>
  <si>
    <t>Category C</t>
  </si>
  <si>
    <t>Category D</t>
  </si>
  <si>
    <t>Category X</t>
  </si>
  <si>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</si>
  <si>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56 Pharma Plus เล่มม่วง (เฉลยข้อ จ)</t>
  </si>
  <si>
    <t>หลังจากนั้นผู้ป่วยรายนี้กลับมาอีกครั้ง มีสิวอักเสบเพิ่มขึ้น และมีสิวขึ้นเป็นตุ่มก้อนบวม ถามว่าผู้ป่วยรายนี้เป็นสิวประเภทใด</t>
  </si>
  <si>
    <t>Close comedone</t>
  </si>
  <si>
    <t>Open comedone</t>
  </si>
  <si>
    <t>Pustule</t>
  </si>
  <si>
    <t>Nodule</t>
  </si>
  <si>
    <t>Cyst</t>
  </si>
  <si>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</si>
  <si>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57 Pharma Plus เล่มม่วง (เฉลยข้อ ง)</t>
  </si>
  <si>
    <t>Oral isotretinoin ใช้ในสิวประเภทใด</t>
  </si>
  <si>
    <t>Papule</t>
  </si>
  <si>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</si>
  <si>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58 Pharma Plus เล่มม่วง (เฉลยข้อ จ)</t>
  </si>
  <si>
    <t>Benzoyl peroxide ไม่มีคุณสมบัติใด</t>
  </si>
  <si>
    <t>Antisebum</t>
  </si>
  <si>
    <t>Anti-infection</t>
  </si>
  <si>
    <t>Exfoliative</t>
  </si>
  <si>
    <t>Keratolytic</t>
  </si>
  <si>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</si>
  <si>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59 Pharma Plus เล่มม่วง (เฉลยข้อ ง)</t>
  </si>
  <si>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</si>
  <si>
    <t>Impetigo</t>
  </si>
  <si>
    <t>Eczema</t>
  </si>
  <si>
    <t>Folliculitis</t>
  </si>
  <si>
    <t>Rosacea</t>
  </si>
  <si>
    <t>Tenia corporis</t>
  </si>
  <si>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</si>
  <si>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ข้อ 60 Pharma Plus เล่มม่วง (เฉลยข้อ ข)</t>
  </si>
  <si>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</si>
  <si>
    <t>Burrow's solution</t>
  </si>
  <si>
    <t>Antihistamine cream</t>
  </si>
  <si>
    <t>Ketoconazole cream</t>
  </si>
  <si>
    <t>Topical steroid cream</t>
  </si>
  <si>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</si>
  <si>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ข้อ 61 Pharma Plus เล่มม่วง (เฉลยข้อ จ)</t>
  </si>
  <si>
    <t>ข้อใดผิดเกี่ยวกับยา hydroxyzine</t>
  </si>
  <si>
    <t>มีความจำเพาะต่อ H1 &gt; H2</t>
  </si>
  <si>
    <t>ห้ามรับประทานร่วมกับ alcohol</t>
  </si>
  <si>
    <t>ห้ามรับประทานร่วมกับ St.John wort</t>
  </si>
  <si>
    <t>ถ้าใช้ขนาดสูงจะมีฤทธิ์เป็น anticonvulsant</t>
  </si>
  <si>
    <t>ถ้าใช้ขนาดสูงจะทำให้เกิดอาการชัก และง่วง ได้</t>
  </si>
  <si>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</si>
  <si>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Urticaria &amp; Angioedema</t>
  </si>
  <si>
    <t>ข้อ 62 Pharma Plus เล่มม่วง (เฉลยข้อ ค ง)</t>
  </si>
  <si>
    <t>ยา antihistamine ตัวใดต่อไปนี้มีฤทธิ์ sedative effect มากที่สุด</t>
  </si>
  <si>
    <t>Hydroxyzine</t>
  </si>
  <si>
    <t>CPM</t>
  </si>
  <si>
    <t>Brompheniramine</t>
  </si>
  <si>
    <t>Diphenhydramine</t>
  </si>
  <si>
    <t>Cyproheptadine</t>
  </si>
  <si>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</si>
  <si>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63 Pharma Plus เล่มม่วง (เฉลยข้อ ง)</t>
  </si>
  <si>
    <t>ข้อใดไม่จัดเป็นหัวข้อการทดสอบของยาในรูปแบบ nebulized solution</t>
  </si>
  <si>
    <t>Assay</t>
  </si>
  <si>
    <t>Sterility</t>
  </si>
  <si>
    <t>Content uniformity</t>
  </si>
  <si>
    <t>Particle size</t>
  </si>
  <si>
    <t>Impurity</t>
  </si>
  <si>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</si>
  <si>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102</t>
  </si>
  <si>
    <t>คำแนะนำที่สำคัญที่สุดในการป้องกันการแพร่กระจายของเชื้อ</t>
  </si>
  <si>
    <t>จะไม่แพร่เชื้อถ้ามีตุ่มใสขึ้นแล้ว</t>
  </si>
  <si>
    <t>หลีกเลี่ยงการสัมผัสบริเวณที่เป็น และไม่ใช้สิ่งของร่วมกับผู้อื่น</t>
  </si>
  <si>
    <t>ปิดพลาสเตอร์ยาบริเวณแผลตลอดเวลา</t>
  </si>
  <si>
    <t>ล้างบริเวณนั้นด้วยน ้าและสบู่ทุกวัน</t>
  </si>
  <si>
    <t>รับประทานอาหารที่มีวิตามินซีสูง</t>
  </si>
  <si>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</si>
  <si>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121</t>
  </si>
  <si>
    <t>ข้อใดเป็นการแนะนำเพื่อป้องกันโรคตามพฤติกรรมสุขภาพของผู้บริโภคได้ถูกต้อง</t>
  </si>
  <si>
    <t>แนะนำการปฏิบัติตัว การหลีกเลี่ยงปัจจัยกระตุ้น</t>
  </si>
  <si>
    <t>Benzoyl peroxide 2.5% gel</t>
  </si>
  <si>
    <t>Acyclovir 5% cream</t>
  </si>
  <si>
    <t>แนะน าให้ท าอาชีพอื่น</t>
  </si>
  <si>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</si>
  <si>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Mock PLE-CC 1 ข้อ 125</t>
  </si>
  <si>
    <t>ยารักษาผื่นที่หน้าในผู้ป่วยรายนี้ได้แก่อะไร</t>
  </si>
  <si>
    <t>aloe vera gel</t>
  </si>
  <si>
    <t>Triamcinolone 0.2% cream</t>
  </si>
  <si>
    <t>diclofenac cream</t>
  </si>
  <si>
    <t>capsaicin cream</t>
  </si>
  <si>
    <t>acyclovir cream</t>
  </si>
  <si>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</si>
  <si>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PLE_CC1_2567_Key ข้อ 57</t>
  </si>
  <si>
    <t>จากข้อมูลทั้งหมด ลักษณะอาการแพ้ยาที่เกิดขึ้นในผู้ป่วยรายนี้ตรงกับข้อใดมากที่สุด</t>
  </si>
  <si>
    <t>Urticaria</t>
  </si>
  <si>
    <t>Erythema multiforme</t>
  </si>
  <si>
    <t>Morbilliform rash (MP rash) + &lt; PLE-PC1 Preparation 2567 Azithromy = 3 Ceftriazone 4 /</t>
  </si>
  <si>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</si>
  <si>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PLE_CC1_2567_Key ข้อ 76</t>
  </si>
  <si>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</si>
  <si>
    <t>Cefixime</t>
  </si>
  <si>
    <t>Levofloxacin</t>
  </si>
  <si>
    <t>Amoxicillin clavulanate</t>
  </si>
  <si>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</si>
  <si>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Respiratory &amp; Antibiotics</t>
  </si>
  <si>
    <t>PLE_CC1_2567_Set1_Key ข้อ 36</t>
  </si>
  <si>
    <t>โครงสร้างเคมีหลักของยาต้านเชื้อรากลุ่ม Azole (เช่น Ketoconazole, Itraconazole) มีคุณสมบัติเด่นในการออกฤทธิ์ยับยั้งเอนไซม์ใดของเชื้อรา</t>
  </si>
  <si>
    <t>ยับยั้ง Lanosterol 14-alpha-demethylase (CYP51)</t>
  </si>
  <si>
    <t>ยับยั้ง Squalene epoxidase</t>
  </si>
  <si>
    <t>ยับยั้ง Beta-(1,3)-D-glucan synthase</t>
  </si>
  <si>
    <t>ยับยั้ง Thymidylate synthase</t>
  </si>
  <si>
    <t>ยับยั้ง Fungal RNA polymerase</t>
  </si>
  <si>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</si>
  <si>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PLE_CC1_2567_Set1_Key ข้อ 41</t>
  </si>
  <si>
    <t>โครงสร้างหมายเลขใดของ triamcinolone acetonide มีบทบาทสำคัญในการเพิ่ม lipophilicity และความแรงของยา</t>
  </si>
  <si>
    <t>ตำแหน่ง 1, 2 double bond</t>
  </si>
  <si>
    <t>ตำแหน่ง 9-alpha fluoro</t>
  </si>
  <si>
    <t>ตำแหน่ง 16-alpha, 17-alpha acetonide (ketal)</t>
  </si>
  <si>
    <t>ตำแหน่ง 11-beta hydroxyl</t>
  </si>
  <si>
    <t>ตำแหน่ง 21-hydroxyl</t>
  </si>
  <si>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</si>
  <si>
    <t>PLE_CC1_2567_Set1_Key ข้อ 95</t>
  </si>
  <si>
    <t>ผู้ป่วยถูกน้ำร้อนลวกที่แขน เกิดแผลพองและปวดแสบปวดร้อน การรักษาเฉพาะที่เบื้องต้นเพื่อป้องกันการติดเชื้อควรใช้ยาใด</t>
  </si>
  <si>
    <t>Silver sulfadiazine 1% cream</t>
  </si>
  <si>
    <t>Triamcinolone acetonide 0.1% cream</t>
  </si>
  <si>
    <t>Ketoconazole 2% cream</t>
  </si>
  <si>
    <t>Clobetasol propionate 0.05% cream</t>
  </si>
  <si>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</si>
  <si>
    <t>PLE-CC1 ปี 2566 Day 1 ข้อ 119</t>
  </si>
  <si>
    <t>ผูป%วยรายนี้จัดอยู;ใน class ใด ตาม Canadian cardiovascular society</t>
  </si>
  <si>
    <t>Class I PLE-CC1 Preparation 2565 เฉลยโดย MUPY53</t>
  </si>
  <si>
    <t>Adapalene 0.1% gel</t>
  </si>
  <si>
    <t>Mupirocin 2% ointment</t>
  </si>
  <si>
    <t>Betamethasone dipropionate 0.05% cream</t>
  </si>
  <si>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</si>
  <si>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PLE_CC1_2565_Day1_Key ข้อ 6</t>
  </si>
  <si>
    <t>ถามคนไขเปMนอะไร/สาเหตุที่เกิดโรค</t>
  </si>
  <si>
    <t>herpes simplex</t>
  </si>
  <si>
    <t>herpes zoster</t>
  </si>
  <si>
    <t>seborrheic dermatitis</t>
  </si>
  <si>
    <t>atopic dermatitis</t>
  </si>
  <si>
    <t>scalp psoriasis #kมlใสSนตามปลายประสาท และ# neuropathic pain KวมLวย</t>
  </si>
  <si>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</si>
  <si>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PLE_CC1_2565_Day1_Key ข้อ 10</t>
  </si>
  <si>
    <t>6 เดือนต;อมา ใหผูป%วยเปลี่ยนมาใชselegiline transdermal patch ในแผ;นแปะ selegiline transdermal patch สิ่งใดทำใหเกิดผื่น</t>
  </si>
  <si>
    <t>Membrane</t>
  </si>
  <si>
    <t>Liner</t>
  </si>
  <si>
    <t>Adhesive</t>
  </si>
  <si>
    <t>Back</t>
  </si>
  <si>
    <t>Peel strip</t>
  </si>
  <si>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</si>
  <si>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PLE_CC1_2565_Day1_Key ข้อ 46</t>
  </si>
  <si>
    <t>เปMนผื่นแพลักษณะแบบใด</t>
  </si>
  <si>
    <t>Maculopapular rash</t>
  </si>
  <si>
    <t>Fix drug eruption</t>
  </si>
  <si>
    <t>Exfoliative CPT I, midterm, CPT1 บรรยาย 2 กย 67 (13 2ง 16 น.) ADR for Pharmacy Practice, page 23</t>
  </si>
  <si>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</si>
  <si>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PLE_CC1_2565_Day1_Key ข้อ 41</t>
  </si>
  <si>
    <t>ยาที่ใชรักษาคืออะไร ิ โลน</t>
  </si>
  <si>
    <t>Oral ivermectin</t>
  </si>
  <si>
    <t>Permethrin cream</t>
  </si>
  <si>
    <t>Gamma benzene hexachloride</t>
  </si>
  <si>
    <t>Steroid ซักอย;าง</t>
  </si>
  <si>
    <t>2% ketoconazole cream Hา 1st line ไIไ-ผล ิ 1st line เJอKนLนไIไ-ผล ADR เยอะ (neurptoxic) ลดแFอาการGน?</t>
  </si>
  <si>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</si>
  <si>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PLE_CC1_2565_Day1_Key ข้อ 50</t>
  </si>
  <si>
    <t>เปQนโรคอะไร ………………………………………………………………………………………………………………………………………………………… ………………………………………………………………………………………………………………………………………………………….. Tinea Pedis</t>
  </si>
  <si>
    <t>Clotrimazole 1% cream</t>
  </si>
  <si>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</si>
  <si>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PLE_CC1_2565_Day2_Key ข้อ 32</t>
  </si>
  <si>
    <t>กลไกการออกฤทธิ์ของยาต้านเชื้อรา Ketoconazole ในการรักษาโรคเชื้อราที่ผิวหนังคือข้อใด</t>
  </si>
  <si>
    <t>ยับยั้งเอนไซม์ 14-alpha-demethylase ขัดขวางการสังเคราะห์ Ergosterol ที่เยื่อหุ้มเซลล์เชื้อรา</t>
  </si>
  <si>
    <t>ยับยั้งเอนไซม์ Squalene epoxidase</t>
  </si>
  <si>
    <t>จับกับ Ergosterol ทำให้เยื่อหุ้มเซลล์รั่ว</t>
  </si>
  <si>
    <t>ยับยั้งการสร้างผนังเซลล์ของเชื้อรา</t>
  </si>
  <si>
    <t>ยับยั้งกระบวนการแบ่งตัวแบบ Mitosis</t>
  </si>
  <si>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</si>
  <si>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PLE_CC1_2565_Day2_Key ข้อ 34</t>
  </si>
  <si>
    <t>stiffening agent คืออะไร</t>
  </si>
  <si>
    <t>glycerin</t>
  </si>
  <si>
    <t>Propylene glycol</t>
  </si>
  <si>
    <t>SLS</t>
  </si>
  <si>
    <t>Cetearyl palmitate</t>
  </si>
  <si>
    <t>Mineral oil</t>
  </si>
  <si>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</si>
  <si>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PLE_CC1_2565_Day2_Key ข้อ 39</t>
  </si>
  <si>
    <t>ยาทาคอร์ติโคสเตียรอยด์ชนิดใดต่อไปนี้ไม่เหมาะสมอย่างยิ่งที่จะนำมาใช้ทาบริเวณใบหน้า</t>
  </si>
  <si>
    <t>Hydrocortisone 1% cream</t>
  </si>
  <si>
    <t>Desonide 0.05% lotion</t>
  </si>
  <si>
    <t>Triamcinolone acetonide 0.02% cream</t>
  </si>
  <si>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</si>
  <si>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PLE_CC1_2565_Day2_Key ข้อ 36</t>
  </si>
  <si>
    <t>ผื่นลมพิษ ไมUออก UTIs, URIs เลยในป_ 2565 (ธ.ค.)</t>
  </si>
  <si>
    <t>Isotretinoin 10 mg OD</t>
  </si>
  <si>
    <t>Terbinafine 1% cream</t>
  </si>
  <si>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</si>
  <si>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PLE_CC1_2565_Day2_Key ข้อ 7</t>
  </si>
  <si>
    <t>เชื้อราใดเป็นสาเหตุหลักของการเกิดโรคกลากที่หนังศีรษะ (Tinea capitis)</t>
  </si>
  <si>
    <t>Trichophyton rubrum และ Microsporum spp.</t>
  </si>
  <si>
    <t>Candida albicans</t>
  </si>
  <si>
    <t>Aspergillus niger</t>
  </si>
  <si>
    <t>Epidermophyton floccosum</t>
  </si>
  <si>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</si>
  <si>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15</t>
  </si>
  <si>
    <t>ยาต้านเชื้อรา Ketoconazole และ Itraconazole มีฤทธิ์เป็น Strong inhibitor ต่อเอนไซม์ CYP ชนิดใด</t>
  </si>
  <si>
    <t>CYP2C19</t>
  </si>
  <si>
    <t>CYP3A4</t>
  </si>
  <si>
    <t>CYP2D6</t>
  </si>
  <si>
    <t>CYP1A2</t>
  </si>
  <si>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</si>
  <si>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65</t>
  </si>
  <si>
    <t>สาวเป็นสิวหนองมากกว่า 5 จุดบนใบหน้า สิวหนองเป็นตุ่มแบบใด</t>
  </si>
  <si>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</si>
  <si>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PLE_CC1_2564_All_Key ข้อ 81</t>
  </si>
  <si>
    <t>สถานการณ์วัยรุ่นยกพวกตีกัน จงตอบวิธีการห้ามเลือดที่ถูกต้อง</t>
  </si>
  <si>
    <t>เอาน้ำล้าง</t>
  </si>
  <si>
    <t>ขันชะเนาะ</t>
  </si>
  <si>
    <t>เอาผ้าสะอาดกด</t>
  </si>
  <si>
    <t>เอาเชือกรัด</t>
  </si>
  <si>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</si>
  <si>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88</t>
  </si>
  <si>
    <t>เด็กน้อย 1 ขวบครึ่ง ผื่นแดงหน้า แขน น้องไม่มีโรคประจำตัว</t>
  </si>
  <si>
    <t>atopic</t>
  </si>
  <si>
    <t>sebderm</t>
  </si>
  <si>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</si>
  <si>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PLE_CC1_2564_All_Key ข้อ 121</t>
  </si>
  <si>
    <t>ยาในข้อใดเป็นสาเหตุสำคัญและมีรายงานการเกิด DRESS Syndrome (Drug Reaction with Eosinophilia and Systemic Symptoms) ชัดเจนที่สุด</t>
  </si>
  <si>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</si>
  <si>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ADR &amp; Allergy</t>
  </si>
  <si>
    <t>PLE_CC1_2564_All_Key ข้อ 148</t>
  </si>
  <si>
    <t>กลไกขอษ mupirocin</t>
  </si>
  <si>
    <t>ยับยั้ษ transpeptidase ที่ผนัษเอลล์</t>
  </si>
  <si>
    <t>ยับยั้ษ transglycosylase ที่ผนัษเอลล์</t>
  </si>
  <si>
    <t>ยับยั้ษ DNA synthesis ษ. ยับยั้ษ RNA synthesis ส. ยับยั้ษ tRNA</t>
  </si>
  <si>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</si>
  <si>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PLE_CC1_2563_Q ข้อ 52</t>
  </si>
  <si>
    <t>ปี 2563</t>
  </si>
  <si>
    <t>ข้อใดเป็นอาการข้าษเคียษสากยาขี้ผึ้ษ mupirocin</t>
  </si>
  <si>
    <t>Photosensitivity</t>
  </si>
  <si>
    <t>Acneiform eruption</t>
  </si>
  <si>
    <t>Skin irritation ษ. Striae ส. Spider nevi</t>
  </si>
  <si>
    <t>Cetirizine 10 mg OD</t>
  </si>
  <si>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</si>
  <si>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PLE_CC1_2563_Q ข้อ 53</t>
  </si>
  <si>
    <t>ยาใดสามารถให้แทนยาทา Mupirocin ได้ (ผู้ป่วยหกล้มและมีแผล)</t>
  </si>
  <si>
    <t>Gentamicin</t>
  </si>
  <si>
    <t>Bacitracin</t>
  </si>
  <si>
    <t>Sulfanilamide ษ. Metronidazole</t>
  </si>
  <si>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</si>
  <si>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PLE_CC1_2563_Q ข้อ 54</t>
  </si>
  <si>
    <t>เฬื้อที่ทำให้เกิดสิวคือ</t>
  </si>
  <si>
    <t>C. albicans</t>
  </si>
  <si>
    <t>H. pylori</t>
  </si>
  <si>
    <t>P. acne ษ. S. pyogenes ส. S. aureus</t>
  </si>
  <si>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</si>
  <si>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PLE_CC1_2563_Q ข้อ 57</t>
  </si>
  <si>
    <t>Oral isotretinoin ควรให้คำแนะนำอะไรที่เกิดสากผลข้าษเคียษที่สำคัญขอษตัวยา</t>
  </si>
  <si>
    <t>ควรกินก่อนอาหาร30นาที</t>
  </si>
  <si>
    <t>ควรษดผลิตภัณฑ์ที่เป็นฮอร์โมน</t>
  </si>
  <si>
    <t>ควรทาครีมกันแดด ษ. ไม่ควรใฬ้ผลิตภัณฑ์ทาผิวที่มี vitamin A ส. อาหารไม่มีผลต่อการกินยา</t>
  </si>
  <si>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</si>
  <si>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PLE_CC1_2563_Q ข้อ 58</t>
  </si>
  <si>
    <t>อาการข้างต้นน่าจะเกิดจากยาใดมากที่สุด และเป็นอาการอะไร wasinsider W ↓ X STS</t>
  </si>
  <si>
    <t>Naproxen - angioedema</t>
  </si>
  <si>
    <t>Naproxen - anaphylaxis</t>
  </si>
  <si>
    <t>Simvastatin - urticaria</t>
  </si>
  <si>
    <t>MFM - angioedema</t>
  </si>
  <si>
    <t>MFM ı anaphylaxis</t>
  </si>
  <si>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</si>
  <si>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ข้อ 21 (PLE_CC1_2562_Key.md)</t>
  </si>
  <si>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</si>
  <si>
    <t>Sulfamethoxazole</t>
  </si>
  <si>
    <t>Hydrochlorothiazide</t>
  </si>
  <si>
    <t>มีโอกาสเกิดปฏิกิริยาข้ามกลุ่มได้ทั้งหมดข้างต้น</t>
  </si>
  <si>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</si>
  <si>
    <t>ข้อ 27 (PLE_CC1_2562_Key.md)</t>
  </si>
  <si>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</si>
  <si>
    <t>RCT</t>
  </si>
  <si>
    <t>Prospective case-control</t>
  </si>
  <si>
    <t>Retrospective case-control</t>
  </si>
  <si>
    <t>Prospective cohort</t>
  </si>
  <si>
    <t>Retrospective cohort</t>
  </si>
  <si>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</si>
  <si>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Biostatistics &amp; Study Design</t>
  </si>
  <si>
    <t>ข้อ 62 (PLE_CC1_2562_Key.md)</t>
  </si>
  <si>
    <t>ข้อใดคือ indirect cost CUTEagomoline WV225 cut as</t>
  </si>
  <si>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</si>
  <si>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113 (PLE_CC1_2561_Key.md)</t>
  </si>
  <si>
    <t>ข้อใดต่อไปถูกต้องเกี่ยวกับเกลื อน</t>
  </si>
  <si>
    <t>เกิดจากเชื อ Malassezia furfur</t>
  </si>
  <si>
    <t>ถ้าอาการรุนแรง จะมีขุย แดง คัน</t>
  </si>
  <si>
    <t>ถ้าทดสอบด้วย 10% KOH ไปส่องกล้อง จะเห็น Long pseudohyphae</t>
  </si>
  <si>
    <t>ใช้ยาทา Topical selenium sulfide ในการรักษา</t>
  </si>
  <si>
    <t>ถ้าเป็นบ่อยๆ ควรได้รับยาป้องกัน รวมโดย Phongsathorn Phlaisaithong Rx 9 UP 4 | P a g e</t>
  </si>
  <si>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</si>
  <si>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ถ้าจะใช้ยากิน ควรใช้ยารับประทานใด</t>
  </si>
  <si>
    <t>Ketoconazole</t>
  </si>
  <si>
    <t>Posaconazole</t>
  </si>
  <si>
    <t>Griseofulvin หลังจากนั นสักพักผู้ป่วยอาการไม่ดีขึ นไปพบแพทย์จ่ายยา Itraconazole ให้มารับประทาน</t>
  </si>
  <si>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</si>
  <si>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กลไกการออกฤทธิ์ของยา Clotrimazole</t>
  </si>
  <si>
    <t>ยับยั งการสังเคราะห์ Ergosterol</t>
  </si>
  <si>
    <t>ยับยั ง Squalene epoxidase</t>
  </si>
  <si>
    <t>Mitotic spindle toxicity</t>
  </si>
  <si>
    <t>Thymidylate synthase inhibitors</t>
  </si>
  <si>
    <t>ยับยั งการสร้าง Glucans</t>
  </si>
  <si>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</si>
  <si>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ผื่นที่หน้าของผู้ป่วย เรียกว่าอะไร</t>
  </si>
  <si>
    <t>Discoid rash</t>
  </si>
  <si>
    <t>Malar rash</t>
  </si>
  <si>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</si>
  <si>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Autoimmune &amp; SLE</t>
  </si>
  <si>
    <t>แพทย์สั่งจ่ายยา fluocinolone acetonide 0.01 % ส้าหรับทารักษาผื่นบริเวณใบหน้า แต่ทางโรงพยาบาล ไม่มียาดังกล่าว สามารถใช้ยาใดแทนได้</t>
  </si>
  <si>
    <t>Betamethasone dipropionate 0.05%</t>
  </si>
  <si>
    <t>Clobetasol propionate 0.05%</t>
  </si>
  <si>
    <t>Dexosimethasone 0.05%</t>
  </si>
  <si>
    <t>Triamcinolone acetonide 0.1%</t>
  </si>
  <si>
    <t>Hydrocortisone acetate 0.5% รวมโดย Phongsathorn Phlaisaithong Rx 9 UP 21 | P a g e</t>
  </si>
  <si>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</si>
  <si>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ข้อใดต่อไปถูกต้องเกี่ยวกับเกลื้อน</t>
  </si>
  <si>
    <t>เกิดจากเชื้อ Malassezia furfur</t>
  </si>
  <si>
    <t>ถ้าเป็นบ่อยๆ ควรได้รับยาป้องกัน</t>
  </si>
  <si>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</si>
  <si>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ค่าแลปใด Specificity สูงสุด สำหรับ SLE</t>
  </si>
  <si>
    <t>ANA</t>
  </si>
  <si>
    <t>Anti-dsDNA</t>
  </si>
  <si>
    <t>Lupus anticoagulant</t>
  </si>
  <si>
    <t>ESR</t>
  </si>
  <si>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</si>
  <si>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 (PLE_CC1_2560 22 April Set 2.md)</t>
  </si>
  <si>
    <t>ถ้าไม่มียา Fluocinolone acetonide 0.01% เภสัชกรจะจ่ายยาใดแทน</t>
  </si>
  <si>
    <t>Hydrocortisone acetate 0.5%</t>
  </si>
  <si>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</si>
  <si>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หากให้ยา paclitaxel แล้วผู้ป่วยเกิดผื่นคัน จะมีแนวทางป้องกันอย่างไร</t>
  </si>
  <si>
    <t>ให้สารน ้าจ้าพวกน ้าเกลือก่อนให้ยา 1-2 ชั่วโมง</t>
  </si>
  <si>
    <t>ให้ยาคาลาไมด์ โลชันทาเมื่อมีอาการแพ้</t>
  </si>
  <si>
    <t>ให้ยา dexamethasone ก่อนให้ยา 30 นาที</t>
  </si>
  <si>
    <t>ให้ยา famotidine ก่อนให้ยา 1 ชั่วโมง</t>
  </si>
  <si>
    <t>ให้เปลี่ยนตัวท้าละลายเป็น D5W เนื่องจากเกิดผลน้อยที่สุด</t>
  </si>
  <si>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</si>
  <si>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52 (PLE_CC1_2559.md)</t>
  </si>
  <si>
    <t>จงค้านวณหาปริมาณเบสของยาเหน็บที่ต้องใช้เตรียม 1 แท่ง โดย 1 แท่งหนัก 2 g ก้าหนดให้ยา clotrimazole มี น ้าหนัก 500 mg/แท่ง มีค่า D.V.=1.1</t>
  </si>
  <si>
    <t>0.45 กรัม</t>
  </si>
  <si>
    <t>0.55 กรัม</t>
  </si>
  <si>
    <t>1.45 กรัม</t>
  </si>
  <si>
    <t>1.55 กรัม</t>
  </si>
  <si>
    <t>2.00 กรัม</t>
  </si>
  <si>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</si>
  <si>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Pharmaceutical Compounding</t>
  </si>
  <si>
    <t>ข้อ 66 (PLE_CC1_2559.md)</t>
  </si>
  <si>
    <t>ให้ยาใดเป็น maintenance phase</t>
  </si>
  <si>
    <t>Amphotericin B</t>
  </si>
  <si>
    <t>Itraconazole</t>
  </si>
  <si>
    <t>Bactrim</t>
  </si>
  <si>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</si>
  <si>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Infectious Diseases</t>
  </si>
  <si>
    <t>ข้อ 19 (PLE_CC1_2558_Key.md)</t>
  </si>
  <si>
    <t>ลักษณะอาการที่ผู้ป่วยเป็น เกิดจากเชื้ออะไร</t>
  </si>
  <si>
    <t>Propionebacterium acnes</t>
  </si>
  <si>
    <t>Thichophyton rubum</t>
  </si>
  <si>
    <t>Microsporum</t>
  </si>
  <si>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</si>
  <si>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93 (PLE_CC1_2558_Key.md)</t>
  </si>
  <si>
    <t>ยาใดที่เหมาะสมสำหรับผู้ป่วย</t>
  </si>
  <si>
    <t>Griseofulvin oral</t>
  </si>
  <si>
    <t>Ketoconazole oral</t>
  </si>
  <si>
    <t>Itraconazole capsule</t>
  </si>
  <si>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</si>
  <si>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94 (PLE_CC1_2558_Key.md)</t>
  </si>
  <si>
    <t>ยาใดเป็นพิษต่อตับมากที่สุด</t>
  </si>
  <si>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</si>
  <si>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95 (PLE_CC1_2558_Key.md)</t>
  </si>
  <si>
    <t>ข้อใดไม่เกี่ยวข้องกับการวินิจฉัย TEN</t>
  </si>
  <si>
    <t>มีผื่นผิวหนังลอกมากกว่า 30%</t>
  </si>
  <si>
    <t>มีไข้ เจ็บคอ เริ่มมีผื่นแดงขึ้น</t>
  </si>
  <si>
    <t>ได้รับยาที่มี incidence สูงในการเกิด TEN</t>
  </si>
  <si>
    <t>มีแผลที่อวัยวะต่าง ๆ</t>
  </si>
  <si>
    <t>โรคประจำตัวมาก</t>
  </si>
  <si>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</si>
  <si>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27 (PLE_CC1_2558_Key.md)</t>
  </si>
  <si>
    <t>ข้อใดคือปัจจัยเสี่ยงที่ทำให้เกิดโรคในผู้ป่วยรายนี้</t>
  </si>
  <si>
    <t>การสูบบุหรี่และดื่มแอลกอฮอล์</t>
  </si>
  <si>
    <t>ผู้ป่วยมีประวัติเป็น Venous aneurysm</t>
  </si>
  <si>
    <t>ภาวะ Obesity Metabolic syndrome</t>
  </si>
  <si>
    <t>พันธุกรรม คนในครอบครัวมีประวัติดังกล่าว</t>
  </si>
  <si>
    <t>ทุกข้อเป็นปัจจัยเสี่ยงที่ทำให้เกิดโรคนี้</t>
  </si>
  <si>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</si>
  <si>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12 (Pharmtutor_2024_Set1.md)</t>
  </si>
  <si>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</si>
  <si>
    <t>Varicella zoster</t>
  </si>
  <si>
    <t>Streptococcus aureus</t>
  </si>
  <si>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</si>
  <si>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14 (Pharmtutor_2024_Set1.md)</t>
  </si>
  <si>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</si>
  <si>
    <t>Topical retinoic acid</t>
  </si>
  <si>
    <t>1% Selenium sulfide shampoo</t>
  </si>
  <si>
    <t>2% Ketoconazole cream</t>
  </si>
  <si>
    <t>Topical mupirocin</t>
  </si>
  <si>
    <t>Oral Ketoconazole</t>
  </si>
  <si>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</si>
  <si>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16 (Pharmtutor_2024_Set1.md)</t>
  </si>
  <si>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</si>
  <si>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</si>
  <si>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68 (Pharmtutor_2024_Set1.md)</t>
  </si>
  <si>
    <t>จาก Certificate of analysis ข้างต้น หัวใดไม่ใช่ universal test</t>
  </si>
  <si>
    <t>Description</t>
  </si>
  <si>
    <t>Identification</t>
  </si>
  <si>
    <t>Container content</t>
  </si>
  <si>
    <t>Antimicrobial preservatives</t>
  </si>
  <si>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</si>
  <si>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97 (Pharmtutor_2024_Set1.md)</t>
  </si>
  <si>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</si>
  <si>
    <t>Candida albican</t>
  </si>
  <si>
    <t>Microsporum canis</t>
  </si>
  <si>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</si>
  <si>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14 (Pharmtutor_2024_Set2.md)</t>
  </si>
  <si>
    <t>ลักษณะอาการใดที่เป็น Seborrheic dermatitis</t>
  </si>
  <si>
    <t>ผิวหนังมีลักษณะบวมแดง มีตุ่มแดงกระจาย</t>
  </si>
  <si>
    <t>ผิวหนังเป็นผื่นจุดราบขนาดเล็ก กระจายหรือรวมเป็นแผ่น อาจสีจางหรือเข้มกว่าผิว</t>
  </si>
  <si>
    <t>ผิวหนังเป็นผื่น ลักษณะเป็นวงขอบชัด อาจมีขุย มีอาการคัน</t>
  </si>
  <si>
    <t>ผิวหนังมีลักษณะผื่นแดง คัน มีขุยหรือสะเก็ดสีเหลือง บริเวณ T-zone</t>
  </si>
  <si>
    <t>ผิวหนังอักเสบก่อตัวเป็นแผ่นนูนหนา ผิวแห้ง แตก คัน ปกคลุมด้วยขุยขาว หรือขุยเงิน</t>
  </si>
  <si>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</si>
  <si>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17 (Pharmtutor_2024_Set2.md)</t>
  </si>
  <si>
    <t>ผู้ป่วย เพศหญิง ส่วนสูง 160 เซนติเมตร น้ำหนัก 70 กิโลกรัม รอบเอว 31 นิ้วข้อใดคือเกณฑ์วินิจฉัยโรคอ้วน (MCQ ธ.ค.</t>
  </si>
  <si>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</si>
  <si>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73 (Pharmtutor_2024_Set2.md)</t>
  </si>
  <si>
    <t>เครื่องใดเหมาะสำหรับการทำให้แห้งในยาที่ไม่ทนความร้อน</t>
  </si>
  <si>
    <t>Fluidized bed drier</t>
  </si>
  <si>
    <t>Tray drier</t>
  </si>
  <si>
    <t>Drum dried</t>
  </si>
  <si>
    <t>Cool spray dried</t>
  </si>
  <si>
    <t>Freeze drying</t>
  </si>
  <si>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</si>
  <si>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117 (Pharmtutor_2024_Set2.md)</t>
  </si>
  <si>
    <t>การปฐมพยาบาลเบื้องต้นที่ถูกต้องและเหมาะสมที่สุดสำหรับผู้ป่วยที่ถูกน้ำร้อนลวกคือข้อใด</t>
  </si>
  <si>
    <t>ล้างแผลด้วยน้ำสะอาดอุณหภูมิห้องหรือน้ำเย็นทันทีอย่างน้อย 10-20 นาที</t>
  </si>
  <si>
    <t>ใช้ยาสีฟันชโลมบนแผลเพื่อลดความร้อน</t>
  </si>
  <si>
    <t>ราดแผลด้วยน้ำมันมะกอกหรือน้ำมันพืช</t>
  </si>
  <si>
    <t>ล้างด้วยน้ำเย็นจัดสลับกับน้ำอุ่นจัด</t>
  </si>
  <si>
    <t>เจาะตุ่มน้ำพองออกเพื่อระบายความร้อน</t>
  </si>
  <si>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</si>
  <si>
    <t>ข้อ 1 (PLE_CC1_2557.md)</t>
  </si>
  <si>
    <t>ปี 2557</t>
  </si>
  <si>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</si>
  <si>
    <t>Anaphylaxis</t>
  </si>
  <si>
    <t>Septic shock</t>
  </si>
  <si>
    <t>Red man syndrome</t>
  </si>
  <si>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</si>
  <si>
    <t>ข้อ 78 (PLE_CC1_2557.md)</t>
  </si>
  <si>
    <t>ข้อใดผิดเกี่ยวกับลักษณะของโรค DU</t>
  </si>
  <si>
    <t>มักปวดเวลากลางคืน</t>
  </si>
  <si>
    <t>ยาลดกรดสามารถลดอาการได้</t>
  </si>
  <si>
    <t>ถ่ายเป็นเลือดสด</t>
  </si>
  <si>
    <t>อาการปวดบรรเทาลงเมื่อทานอาหาร</t>
  </si>
  <si>
    <t>ผู้ป่วยมักมีน ้าหนักเพิ่มขึ้น คณะเภสัชศาสตร์ มหาวิทยาลัยเชียงใหม่ Rx 44 CMU</t>
  </si>
  <si>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</si>
  <si>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53 (PLE_CC1_2555 Day 1.md)</t>
  </si>
  <si>
    <t>อาการที่ผู้ป่วยเป็นสัมพันธ์กับข้อใด</t>
  </si>
  <si>
    <t>Allergy</t>
  </si>
  <si>
    <t>Tenia vesicolor</t>
  </si>
  <si>
    <t>Rosase ……</t>
  </si>
  <si>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</si>
  <si>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61 (PLE_CC1_2555 Day 1.md)</t>
  </si>
  <si>
    <t>ยาที่ผู้ป่วยควรได้รับจากอาการดังกล่าวคือข้อใด</t>
  </si>
  <si>
    <t>Clotrimazole</t>
  </si>
  <si>
    <t>Acyclovir</t>
  </si>
  <si>
    <t>Topical steroids</t>
  </si>
  <si>
    <t>…………….</t>
  </si>
  <si>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</si>
  <si>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62 (PLE_CC1_2555 Day 1.md)</t>
  </si>
  <si>
    <t>ยารักษาโรคผิวหนังชนิดใดต่อไปนี้มีรายงานการเกิดอาการไม่พึงประสงค์ทำให้ผิวหนังหรือเล็บเปลี่ยนสี (Hyperpigmentation / Discoloration) ได้</t>
  </si>
  <si>
    <t>Minocycline</t>
  </si>
  <si>
    <t>Triamcinolone</t>
  </si>
  <si>
    <t>Adapalene</t>
  </si>
  <si>
    <t>Cetirizine</t>
  </si>
  <si>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</si>
  <si>
    <t>ข้อ 4 (PLE_CC1_2555 Day 2.md)</t>
  </si>
  <si>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</si>
  <si>
    <t>Severe Cutaneous Adverse Reactions (SCARs / SJS-TEN)</t>
  </si>
  <si>
    <t>Common cold</t>
  </si>
  <si>
    <t>Drug-induced urticaria</t>
  </si>
  <si>
    <t>Gouty flare</t>
  </si>
  <si>
    <t>Hypersensitivity pneumonitis</t>
  </si>
  <si>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</si>
  <si>
    <t>ข้อ 5 (PLE_CC1_2555 Day 2.md)</t>
  </si>
  <si>
    <t>ขั้นแรกควรให้การรักษาโดยวิธีใดที่เหมาะสมที่สุด</t>
  </si>
  <si>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</si>
  <si>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 (PLE_CC1_2554 SET2.md)</t>
  </si>
  <si>
    <t>การปฐมพยาบาลเบื้องต้นที่ถูกต้องเมื่อถูกความร้อนลวก (Minor burn) คือข้อใด</t>
  </si>
  <si>
    <t>ทายาสีฟันชโลมบนแผล</t>
  </si>
  <si>
    <t>ประคบด้วยความร้อน</t>
  </si>
  <si>
    <t>ล้างหรือประคบด้วยน้ำเย็น/น้ำสะอาดอุณหภูมิห้อง</t>
  </si>
  <si>
    <t>ราดด้วยน้ำปลาหรือน้ำมันพืช</t>
  </si>
  <si>
    <t>เจาะตุ่มน้ำพองออกทันที</t>
  </si>
  <si>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</si>
  <si>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ควรใช้น้ำยาชนิดใดในการล้างทำความสะอาดแผลเปิดหรือแผลไฟไหม้ที่ไม่ทำให้ระคายเคืองเนื้อเยื่อ</t>
  </si>
  <si>
    <t>Normal Saline Solution (0.9% NSS)</t>
  </si>
  <si>
    <t>Alcohol 70%</t>
  </si>
  <si>
    <t>Alcohol 95%</t>
  </si>
  <si>
    <t>Hydrogen peroxide 3%</t>
  </si>
  <si>
    <t>Povidone-iodine 10% solution เข้มข้น</t>
  </si>
  <si>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</si>
  <si>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3 (PLE_CC1_2554 SET2.md)</t>
  </si>
  <si>
    <t>ผู้ป่วยมีตุ่มน้ำใสเกิดขึ้นเรียงตัวตามแนวเส้นประสาท (Dermatome) ร่วมกับมีอาการปวดแสบปวดร้อน ผู้ป่วยเป็นโรคใด</t>
  </si>
  <si>
    <t>Herpes zoster (งูสวัด)</t>
  </si>
  <si>
    <t>Herpes simplex (เริม)</t>
  </si>
  <si>
    <t>Varicella (อีสุกอีใส)</t>
  </si>
  <si>
    <t>Impetigo (แผลพุพอง)</t>
  </si>
  <si>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</si>
  <si>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Herpes &amp; Zoster</t>
  </si>
  <si>
    <t>โรคงูสวัด (Herpes zoster) เกิดจากการกำเริบของเชื้อไวรัสชนิดใด</t>
  </si>
  <si>
    <t>Human Papilloma Virus</t>
  </si>
  <si>
    <t>Varicella zoster virus (VZV)</t>
  </si>
  <si>
    <t>Herpes simplex virus type 2</t>
  </si>
  <si>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</si>
  <si>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 (PLE_CC1_2554 SET2.md)</t>
  </si>
  <si>
    <t>การรักษาโรคงูสวัดด้วยยาต้านไวรัสชนิดรับประทาน ข้อใดกล่าวถูกต้องที่สุด</t>
  </si>
  <si>
    <t>หากเป็นไม่มาก ทาเฉพาะยาทาภายนอกอย่างเดียวก็เพียงพอ</t>
  </si>
  <si>
    <t>ควรเริ่มรับประทานยาต้านไวรัสภายใน 72 ชั่วโมงหลังเกิดผื่นตุ่มน้ำ</t>
  </si>
  <si>
    <t>นำสมุนไพรสดหรือกระเทียมมาพอกบริเวณแผลเพื่อฆ่าเชื้อ</t>
  </si>
  <si>
    <t>ให้รับประทานยาต้านไวรัสเฉพาะเมื่อตุ่มน้ำแตกแห้งเป็นสะเก็ดแล้ว</t>
  </si>
  <si>
    <t>ให้ยาปฏิชีวนะ Cloxacillin เป็นยาหลักตัวแรกเสมอ</t>
  </si>
  <si>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</si>
  <si>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 (PLE_CC1_2554 SET2.md)</t>
  </si>
  <si>
    <t>ข้อใดไม่ถูกต้องเกี่ยวกับเชื้อ Varicella zoster virus (VZV) และโรคงูสวัด</t>
  </si>
  <si>
    <t>โรคงูสวัดเป็นแล้วร่างกายจะมีภูมิคุ้มกันถาวรและไม่สามารถกลับเป็นซ้ำได้อีก</t>
  </si>
  <si>
    <t>การติดเชื้อ VZV ครั้งแรกจะแสดงอาการเป็นโรคอีสุกอีใส (Chickenpox)</t>
  </si>
  <si>
    <t>หลังหายจากอีสุกอีใส เชื้อจะแฝงตัวอยู่ที่ปมประสาทรับความรู้สึก (Dorsal root ganglia)</t>
  </si>
  <si>
    <t>เชื้อสามารถแพร่กระจายไปยังผู้ที่ไม่เคยเป็นอีสุกอีใสมาก่อนได้จากการสัมผัสตุ่มน้ำ</t>
  </si>
  <si>
    <t>ผู้สูงอายุหรือผู้มีภูมิคุ้มกันต่ำมีความเสี่ยงต่อการเกิดงูสวัดสูงขึ้น</t>
  </si>
  <si>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</si>
  <si>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 (PLE_CC1_2554 SET2.md)</t>
  </si>
  <si>
    <t>กรณีใดจัดเป็นยาผิดมาตรฐานตามพระราชบัญญัติยา พ.ศ. 2510</t>
  </si>
  <si>
    <t>ยาที่มีการแสดงวันหมดอายุบนฉลากไม่ชัดเจน</t>
  </si>
  <si>
    <t>ยาที่ตรวจวิเคราะห์ปริมาณตัวยาสำคัญได้ 87% ของเกณฑ์ที่กำหนดในทะเบียนตำรับยา</t>
  </si>
  <si>
    <t>ยาที่มีการนำชื่อทางการค้าอื่นมาสวมแทน</t>
  </si>
  <si>
    <t>ยาที่มีส่วนผสมของสารต้องห้ามที่เป็นอันตรายร้ายแรง</t>
  </si>
  <si>
    <t>ยาที่ผลิตจากโรงงานที่ยังไม่ผ่านเกณฑ์ GMP</t>
  </si>
  <si>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</si>
  <si>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Regulatory &amp; Quality</t>
  </si>
  <si>
    <t>ข้อ 7 (PLE_CC1_2554 SET2.md)</t>
  </si>
  <si>
    <t>ผู้ป่วยแผลไฟไหม้ระยะต่อมามีตุ่มน้ำแตกและแผลเปิดออก สารละลายใดเหมาะสมที่สุดในการล้างทำความสะอาดแผล</t>
  </si>
  <si>
    <t>น้ำยาบ้วนปากผสมสารฆ่าเชื้อ</t>
  </si>
  <si>
    <t>น้ำสบู่เข้มข้น</t>
  </si>
  <si>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</si>
  <si>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22 (PLE_CC1_2554 SET2.md)</t>
  </si>
  <si>
    <t>เอกสารประกอบการเรียน เรื่อง Thyriod disorder ของอาจารย์วรนุช แสงเจริญ</t>
  </si>
  <si>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</si>
  <si>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ข้อใดคือลักษณะทางคลินิกที่เด่นและจำเพาะที่สุดของโรคงูสวัด (Herpes zoster)</t>
  </si>
  <si>
    <t>ตุ่มน้ำใสบนฐานแดง กระจายทั่วบริเวณริมฝีปาก</t>
  </si>
  <si>
    <t>ตุ่มน้ำใสบนฐานแดง บริเวณอวัยวะเพศ</t>
  </si>
  <si>
    <t>ผื่นลมพิษนูนแดงคัน กระจายทั่วลำตัว</t>
  </si>
  <si>
    <t>ปื้นแดงหนามีสะเก็ดสีขาวเงิน ขูดแล้วมีจุดเลือดออก</t>
  </si>
  <si>
    <t>ตุ่มน้ำใสรวมกลุ่มเรียงตัวเป็นแนวยาวตามแนวเส้นประสาทข้างใดข้างหนึ่ง (Dermatomal pattern)</t>
  </si>
  <si>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</si>
  <si>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คำแนะนำในการใช้ครีมกันแดด (Sunscreen) ร่วมกับยารักษาสิวที่มีฤทธิ์ทำให้ผิวไวต่อแสง ข้อใดถูกต้องที่สุด</t>
  </si>
  <si>
    <t>ทาครีมกันแดดที่มีค่า SPF 30 ขึ้นไปและ PA+++ ก่อนออกแดดอย่างน้อย 15-30 นาที</t>
  </si>
  <si>
    <t>ทาเฉพาะวันที่แดดจัดเท่านั้น วันที่ฟ้าครึ้มไม่ต้องทา</t>
  </si>
  <si>
    <t>ทาครีมกันแดดทับทันทีโดยไม่ต้องรอให้ยารักษาสิวซึมสู่ผิว</t>
  </si>
  <si>
    <t>เลือกใช้ครีมกันแดดชนิดที่มีความมันสูงเพื่อเพิ่มความชุ่มชื้นแก่ผิวที่เป็นสิว</t>
  </si>
  <si>
    <t>การทาครีมกันแดดเพียงครั้งเดียวในตอนเช้าสามารถปกป้องผิวได้ตลอดทั้งวันแม้เหงื่อออกมาก</t>
  </si>
  <si>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</si>
  <si>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1 (PLE_CC1_2533.md)</t>
  </si>
  <si>
    <t>คำแนะนำที่ถูกต้องสำหรับผู้ป่วยที่เริ่มใช้ยาทารักษาสิวกลุ่ม Topical Retinoids (เช่น Tretinoin หรือ Adapalene) คือข้อใด</t>
  </si>
  <si>
    <t>ทายาบางๆ ทั่วใบหน้าก่อนนอน และทาครีมกันแดดในตอนเช้าอย่างสม่ำเสมอ</t>
  </si>
  <si>
    <t>ทายาหนาๆ เฉพาะบริเวณหัวสิววันละ 3-4 ครั้งเพื่อให้สิวยุบเร็ว</t>
  </si>
  <si>
    <t>ทายาทันทีหลังล้างหน้าเสร็จขณะที่ผิวยังเปียกชื้นเพื่อเพิ่มการดูดซึม</t>
  </si>
  <si>
    <t>หยุดใช้ยาทันทีหากพบว่ามีสิวเห่อเพิ่มขึ้นเล็กน้อยในช่วง 2 สัปดาห์แรก</t>
  </si>
  <si>
    <t>สามารถทาร่วมกับ Benzoyl peroxide ในเวลาเดียวกันโดยไม่ต้องเว้นช่วงเวลา</t>
  </si>
  <si>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</si>
  <si>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 (PLE_CC1_2533.md)</t>
  </si>
  <si>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</si>
  <si>
    <t>เพิ่ม Oral Doxycycline ร่วมกับ Topical BPO</t>
  </si>
  <si>
    <t>เปลี่ยนเป็น Topical Retinoid ชนิดเดียว</t>
  </si>
  <si>
    <t>ให้ Oral Isotretinoin ทันที</t>
  </si>
  <si>
    <t>หยุดยาทั้งหมดแล้วล้างหน้าด้วยสบู่</t>
  </si>
  <si>
    <t>ทา Topical Clindamycin เดี่ยวๆ</t>
  </si>
  <si>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</si>
  <si>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</si>
  <si>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</si>
  <si>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5 (PLE_CC1_2533.md)</t>
  </si>
  <si>
    <t>ระงับการเจริญของเชื้อแบคทีเรียต้นเหตุสิว</t>
  </si>
  <si>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</si>
  <si>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ข้อใดต่อไปนี้ไม่ใช่หนึ่งใน 4 ปัจจัยหลักในการเกิดพยาธิกำเนิดของสิว (Pathogenesis of Acne vulgaris)</t>
  </si>
  <si>
    <t>การสร้างสารไขมัน (Sebum) มากผิดปกติ</t>
  </si>
  <si>
    <t>การอุดตันของรูขุมขนจาก Abnormal follicular keratinization</t>
  </si>
  <si>
    <t>การเพิ่มจำนวนของเชื้อรา Candida albicans ในรูขุมขน</t>
  </si>
  <si>
    <t>การเจริญและเพิ่มจำนวนของ Cutibacterium acnes</t>
  </si>
  <si>
    <t>กระบวนการตอบสนองต่อการอักเสบ (Inflammation)</t>
  </si>
  <si>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</si>
  <si>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ข้อใดคือคำแนะนำในการใช้ยาพ่น corticosteroid DPI</t>
  </si>
  <si>
    <t>เขย่าขวดก่อนใช้</t>
  </si>
  <si>
    <t>เงยหน้าขึ้นสูงขณะพ่นยา</t>
  </si>
  <si>
    <t>หลังพ่นยา ให้กลั้วปาก และคอด้วยน้ำแล้วบ้วนทิ้ง</t>
  </si>
  <si>
    <t>หลังพ่นยา ให้ดื่มน้ำตามมากๆ</t>
  </si>
  <si>
    <t>หลังพ่นยา ให้ล้างน้ำทำความสะอาดเครื่องพ่นยาทุกครั้ง</t>
  </si>
  <si>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</si>
  <si>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21 (PLE_CC1_Practice_Exam.md)</t>
  </si>
  <si>
    <t>หมู่ฟังก์ชันใดบนโครงสร้างของ corticosteroid ที่ไม่จำเป็นต่อการจับกับ glucocorticoid receptor</t>
  </si>
  <si>
    <t>3-carbonyl</t>
  </si>
  <si>
    <t>Double bond ตำแหน่งที่ 4-5</t>
  </si>
  <si>
    <t>9-methyl</t>
  </si>
  <si>
    <t>Oxygen atom ตำแหน่งที่ 11</t>
  </si>
  <si>
    <t>17-beta ketone-side chain</t>
  </si>
  <si>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</si>
  <si>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22 (PLE_CC1_Practice_Exam.md)</t>
  </si>
  <si>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</si>
  <si>
    <t>Hydrocortisone (Steroid)</t>
  </si>
  <si>
    <t>Zinc oxide (Astringent/Protectant)</t>
  </si>
  <si>
    <t>Benzocaine (Local anesthetic)</t>
  </si>
  <si>
    <t>Aesculin (Venotonic agent)</t>
  </si>
  <si>
    <t>Suppository base</t>
  </si>
  <si>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</si>
  <si>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Transdermal &amp; Topical</t>
  </si>
  <si>
    <t>ข้อ 2 (PLE_CC1_Practice_Exam.md)</t>
  </si>
  <si>
    <t>โรคผิวหนัง โดย ฝ่ายวิชาการ สโมสรนักศึกษาคณะเภสัชศาสตร์ มหาวิทยาลัยอุบลราชธานี ป๊2560</t>
  </si>
  <si>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</si>
  <si>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</si>
  <si>
    <t>Atopic dermatitis</t>
  </si>
  <si>
    <t>Scalp psoriasis</t>
  </si>
  <si>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</si>
  <si>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ยาที่เหมาะสมสำหรับการรักษาของผู้ป่วยรายนี้คือยาใด</t>
  </si>
  <si>
    <t>Ketoconazole 2% foam ฟอกบริเวณที่เป็น 2 ครั้งต่อสัปดาห์</t>
  </si>
  <si>
    <t>Tacrolimus 0.1% ointment ทาบริเวณที่เป็น 2 ครั้งต่อสัปดาห์</t>
  </si>
  <si>
    <t>Betamethasone dipropionate 0.05% ointment ทาบริเวณที่เป็นวันละ 2-4 ครั้ง เป็นเวลา 2 สัปดาห์</t>
  </si>
  <si>
    <t>รับประทานยา Itraconazole ขนาด 200 มิลลิกรัมต่อวัน เป็นเวลา 1 เดือน</t>
  </si>
  <si>
    <t>รับประทานยา Methotrexate ขนาด 7.5-15 มิลลิกรัมต่อสัปดาห์</t>
  </si>
  <si>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</si>
  <si>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</si>
  <si>
    <t>Acyclovir 200 มิลลิกรัม รับประทานวันละ 5 ครั้ง เป็นเวลา 10 วัน</t>
  </si>
  <si>
    <t>Acyclovir 400 มิลลิกรัม รับประทานวันละ 3 ครั้ง เป็นเวลา 10 วัน</t>
  </si>
  <si>
    <t>Famicyclovir 500 มิลลิกรัม รับประทานวันละ 3 ครั้ง เป็นเวลา 10 วัน</t>
  </si>
  <si>
    <t>Valacyclovir 1000 มิลลิกรัม รับประทานวันละ 2 ครั้ง เป็นเวลา 10 วัน</t>
  </si>
  <si>
    <t>ยาทา Acyclovir โดยทาทุกๆ 2 ชั่วโมง เป็นเวลา 4 วัน</t>
  </si>
  <si>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</si>
  <si>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4 (PLE_CC1_Practice_Exam.md)</t>
  </si>
  <si>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</si>
  <si>
    <t>Oral Isotretinoin</t>
  </si>
  <si>
    <t>Oral Doxycycline ร่วมกับทา topical retinoid</t>
  </si>
  <si>
    <t>Oral Doxycycline ร่วมกับทา Benzoyl peroxide 5% และ clindamycin gel</t>
  </si>
  <si>
    <t>Oral Doxycycline ร่วมกับทา topical retinoid และ Benzoyl peroxide 5%</t>
  </si>
  <si>
    <t>Oral Doxycycline ร่วมกับทา topical retinoid และ Benzoyl peroxide 5% และ clindamycin gel</t>
  </si>
  <si>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</si>
  <si>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</si>
  <si>
    <t>Phototherapy</t>
  </si>
  <si>
    <t>Emollient</t>
  </si>
  <si>
    <t>Coal tar</t>
  </si>
  <si>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</si>
  <si>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</si>
  <si>
    <t>Dermatophytosis</t>
  </si>
  <si>
    <t>Warts</t>
  </si>
  <si>
    <t>Corn and callus</t>
  </si>
  <si>
    <t>Pityriasis versicolor</t>
  </si>
  <si>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</si>
  <si>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จากการวินิจฉัยในข้อก่อนหน้า จงเลือกใช้ยาให้เหมาะสมกับโรคของผู้ป่วย</t>
  </si>
  <si>
    <t>Oral Griseofulvin 500 มิลลิกรัมต่อวัน ติดต่อกัน 6-8 สัปดาห์</t>
  </si>
  <si>
    <t>Oral Terbinafine 250 มิลลิกรัมต่อวัน ติดต่อกัน 14 วัน</t>
  </si>
  <si>
    <t>2.5% Selenium sulfide shampoo ฟอกตัวทิ้งไว้ 15 นาที วันละครั้ง 2-4 สัปดาห์</t>
  </si>
  <si>
    <t>Oral Ketoconazole 200 มิลลิกรัมต่อวัน เป็นเวลา 10-14 วัน</t>
  </si>
  <si>
    <t>Oral Ketoconazole 200 mg OD ร่วมกับ Selenium sulfide shampoo</t>
  </si>
  <si>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</si>
  <si>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11 (PLE_CC1_Practice_Exam.md)</t>
  </si>
  <si>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</si>
  <si>
    <t>Corticosteroids</t>
  </si>
  <si>
    <t>Hydroquinone</t>
  </si>
  <si>
    <t>Azelaic acid</t>
  </si>
  <si>
    <t>Tretinoin</t>
  </si>
  <si>
    <t>Isopropylcatechol</t>
  </si>
  <si>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</si>
  <si>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Pigmentary &amp; Cosmetic</t>
  </si>
  <si>
    <t>ข้อ 24 (PLE_CC1_Practice_Exam.md)</t>
  </si>
  <si>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</si>
  <si>
    <t>Scabies</t>
  </si>
  <si>
    <t>Lice</t>
  </si>
  <si>
    <t>Pediculosis pubis</t>
  </si>
  <si>
    <t>Chicken pox</t>
  </si>
  <si>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</si>
  <si>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Parasitic &amp; Infestation</t>
  </si>
  <si>
    <t>ข้อ 28 (PLE_CC1_Practice_Exam.md)</t>
  </si>
  <si>
    <t>จากข้อ 28. ผู้ป่วยรายนี้ควรได้รับการรักษาอย่างไร</t>
  </si>
  <si>
    <t>Benzyl benzoate 25% lotion</t>
  </si>
  <si>
    <t>Malathion shampoo</t>
  </si>
  <si>
    <t>Pyretrin shampoo</t>
  </si>
  <si>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</si>
  <si>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29 (PLE_CC1_Practice_Exam.md)</t>
  </si>
  <si>
    <t>ข้อใดถูกต้องเกี่ยวกับการเลือกใช้ยาทาเพื่อรักษาโรคผิวหนัง</t>
  </si>
  <si>
    <t>ยาพื้นที่มีสารลอกขุยจะเพิ่มการดูดซึมของตัวยา</t>
  </si>
  <si>
    <t>ควรใช้ topical corticosteroid อย่างต่อเนื่องนาน 4-8 สัปดาห์</t>
  </si>
  <si>
    <t>ควรใช้ topical corticosteroid ที่มีความแรงสูงก่อนจึงค่อยใช้ความแรงต่ำ</t>
  </si>
  <si>
    <t>ยาพื้นที่เป็นขี้ผึ้ง ควรใช้กับผิวหนังอักเสบที่มีน้ำเหลืองซึมเพื่อดูดซับน้ำเหลือง</t>
  </si>
  <si>
    <t>ยาพื้นที่มีแอลกอฮอล์ผสมอยู่ควรใช้กับแผลเปิดสดเพื่อฆ่าเชื้อ</t>
  </si>
  <si>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</si>
  <si>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32 (PLE_CC1_Practice_Exam.md)</t>
  </si>
  <si>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</si>
  <si>
    <t>Exfoliative dermatitis</t>
  </si>
  <si>
    <t>AGEP</t>
  </si>
  <si>
    <t>DRESS</t>
  </si>
  <si>
    <t>SJS</t>
  </si>
  <si>
    <t>TEN</t>
  </si>
  <si>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</si>
  <si>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34 (PLE_CC1_Practice_Exam.md)</t>
  </si>
  <si>
    <t>เชื้อไวรัสในข้อใดก่อให้เกิดอาการดังกล่าว</t>
  </si>
  <si>
    <t>Human corona virus</t>
  </si>
  <si>
    <t>Human papilloma virus</t>
  </si>
  <si>
    <t>Human herpes virus 4</t>
  </si>
  <si>
    <t>Adenovirus</t>
  </si>
  <si>
    <t>Cytomegalovirus</t>
  </si>
  <si>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</si>
  <si>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Viral Skin Infection</t>
  </si>
  <si>
    <t>ข้อใดกล่าวไม่ถูกต้องเกี่ยวกับการใช้ยารักษาสิว</t>
  </si>
  <si>
    <t>หากเป็นสิวระดับ mild สามารถใช้ topical retinoid ในการรักษาเพียงตัวเดียวได้</t>
  </si>
  <si>
    <t>หากเป็นสิวระดับ mild สามารถใช้ benzoyl peroxide ในการรักษาเพียงตัวเดียวได้</t>
  </si>
  <si>
    <t>Oral isotretinoid ใช้สำหรับ Severe acne เท่านั้น และห้ามใช้ในหญิงตั้งครรภ์</t>
  </si>
  <si>
    <t>Oral antibiotic ไม่สามารถใช้ในการรักษาสิวเพียงตัวเดียวได้</t>
  </si>
  <si>
    <t>Benzoyl peroxide และ topical retinoid สามารถทาติดต่อกันได้ทันที เพื่อการรักษาที่มีประสิทธิภาพ</t>
  </si>
  <si>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</si>
  <si>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โรคระบบภูมิคุ้มกัน โดย นักศึกษาเภสัชศาสตร์ชั้นป๊ที่ 4 รุ่นที่ 22 มหาวิทยาลัยนเรศวร</t>
  </si>
  <si>
    <t>ข้อใดต่อไปนี้ไม่ถูกต้องเกี่ยวกับการใช้ยากลุ่ม Glucocorticoid</t>
  </si>
  <si>
    <t>ระวังการในผู้ป่วยโรคเบาหวาน เพราะมีฤทธิ์เพิ่มระดับน้ำตาลในเลือด</t>
  </si>
  <si>
    <t>ทำให้เกิด Cushing ’syndrome เช่น moon face, hirsutism, buffalo hump, weight loss, Easy bruising เป็นต้น</t>
  </si>
  <si>
    <t>ระหว่างได้ยาแนะนำให้รับประทานอาหารที่มีแคลเซียมสูง</t>
  </si>
  <si>
    <t>ห้ามใช้ในผู้ป่วยที่ติดเชื้อ Herpes simplex</t>
  </si>
  <si>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</si>
  <si>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</si>
  <si>
    <t>Chlorpheniramine 4 mg PO TID</t>
  </si>
  <si>
    <t>Loratadine 10 mg PO OD</t>
  </si>
  <si>
    <t>Fexofenadine 180 mg PO OD</t>
  </si>
  <si>
    <t>Cetirizine 10 mg PO OD</t>
  </si>
  <si>
    <t>Fluticasone furoate nasal spray 2 sprays each nostril OD</t>
  </si>
  <si>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</si>
  <si>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</si>
  <si>
    <t>IgA</t>
  </si>
  <si>
    <t>IgD</t>
  </si>
  <si>
    <t>IgE</t>
  </si>
  <si>
    <t>IgG</t>
  </si>
  <si>
    <t>IgM</t>
  </si>
  <si>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</si>
  <si>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ข้อ 31 (PLE_CC1_Practice_Exam.md)</t>
  </si>
  <si>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</si>
  <si>
    <t>หยุดยากลุ่มเสี่ยงทันที</t>
  </si>
  <si>
    <t>ให้ยาสเตียรอยด์ในระยะแรกที่ยังมีการดำเนินไปของผื่น</t>
  </si>
  <si>
    <t>ออกบัตรแพ้ยากลุ่มเสี่ยง</t>
  </si>
  <si>
    <t>ทำ rechallenge ในผู้ป่วยรายนี้</t>
  </si>
  <si>
    <t>ตรวจนับเม็ดเลือด ตรวจการทำงานของไต</t>
  </si>
  <si>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</si>
  <si>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33 (PLE_CC1_Practice_Exam.md)</t>
  </si>
  <si>
    <t>รูปแบบยาเตรียมทาเฉพาะที่ชนิดใดต่อไปนี้ไม่เหมาะสมอย่างยิ่งสำหรับใช้ทาบริเวณผิวหนังที่มีขนดกหรือหนังศีรษะ</t>
  </si>
  <si>
    <t>Ointment (ขี้ผึ้ง)</t>
  </si>
  <si>
    <t>Lotion (โลชั่น)</t>
  </si>
  <si>
    <t>Gel (เจล)</t>
  </si>
  <si>
    <t>Solution (สารละลายใส)</t>
  </si>
  <si>
    <t>Foam (โฟม)</t>
  </si>
  <si>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</si>
  <si>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</si>
  <si>
    <t>ได้ เพราะเป็นยาอันตราย</t>
  </si>
  <si>
    <t>ได้ เพราะเป็นยาควบคุมพิเศษที่เคยได้รับการสั่งใช้ยาจากแพทย์มาแล้ว</t>
  </si>
  <si>
    <t>ไม่ได้ เพราะเป็นยาควบคุมพิเศษ ต้องมีใบสั่งใช้ยาโดยแพทย์ประกอบการจ่ายทุกครั้ง</t>
  </si>
  <si>
    <t>ไม่ได้ เพราะเป็นยาควบคุมพิเศษ ที่ขายได้เฉพาะในคลินิกแพทย์เท่านั้น</t>
  </si>
  <si>
    <t>ไม่ได้ เพราะเป็นยาควบคุมพิเศษ ที่ขายได้ในโรงพยาบาลเท่านั้น</t>
  </si>
  <si>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</si>
  <si>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35 (PLE_CC1_Practice_Exam.md)</t>
  </si>
  <si>
    <t>คำแนะนำการใช้ Capsaicin gel สำหรับบรรเทาอาการปวดปลายประสาท ข้อใดถูกต้องที่สุด</t>
  </si>
  <si>
    <t>ต้องทาติดต่อกันสม่ำเสมออย่างน้อย 2-4 สัปดาห์ จึงจะเห็นผลบรรเทาปวดเต็มที่จากการหมดไปของ Substance P</t>
  </si>
  <si>
    <t>ควรทาถูนวดอย่างรุนแรงและประคบร้อนทับทันทีเพื่อเพิ่มการดูดซึม</t>
  </si>
  <si>
    <t>หากรู้สึกแสบร้อนในวันแรกๆ ให้หยุดยาทันทีเพราะแสดงว่าแพ้ยา</t>
  </si>
  <si>
    <t>สามารถทาบริเวณแผลสดหรือเยื่อบุตาได้โดยไม่อันตราย</t>
  </si>
  <si>
    <t>ควรล้างมือด้วยน้ำอุ่นจัดทันทีหลังทายาโดยไม่ต้องใช้สบู่</t>
  </si>
  <si>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</si>
  <si>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4 (PLE_CC1_Key_Rx20_UBU.md)</t>
  </si>
  <si>
    <t>ไม่มี Emulsifier ในตำรับ</t>
  </si>
  <si>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</si>
  <si>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ควรเลือกยาใดให้ผู้ป่วยรายนี้เป็นทางเลือกแรก</t>
  </si>
  <si>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</si>
  <si>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62 (PLE_CC1_Key_Rx20_UBU.md)</t>
  </si>
  <si>
    <t>รอยโรคสิวชนิดใดต่อไปนี้จัดอยู่ในกลุ่มสิวไม่อักเสบ (Non-inflammatory acne)</t>
  </si>
  <si>
    <t>Open and closed comedones (สิวหัวดำและสิวหัวขาว)</t>
  </si>
  <si>
    <t>Erythematous papules (ตุ่มนูนแดง)</t>
  </si>
  <si>
    <t>Pustules (ตุ่มหนอง)</t>
  </si>
  <si>
    <t>Cysts (ถุงซีสต์ใต้ผิวหนัง)</t>
  </si>
  <si>
    <t>Nodules (ตุ่มก้อนไตลึก)</t>
  </si>
  <si>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</si>
  <si>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2 (PLE_CC1_Key_Rx20_UBU.md)</t>
  </si>
  <si>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</si>
  <si>
    <t>Oral Tetracycline</t>
  </si>
  <si>
    <t>Oral Erythromycin</t>
  </si>
  <si>
    <t>Oral Prednisolone</t>
  </si>
  <si>
    <t>Oral Metronidazole</t>
  </si>
  <si>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</si>
  <si>
    <t>ข้อใดกล่าวถูกต้องเกี่ยวกับคุณสมบัติทางเภสัชวิทยาของ Benzoyl peroxide ในการรักษาสิว</t>
  </si>
  <si>
    <t>ปล่อย Free oxygen radicals ฆ่าเชื้อ C. acnes และไม่ก่อให้เกิดการดื้อยาของเชื้อ</t>
  </si>
  <si>
    <t>ออกฤทธิ์ลดการผลิตไขมันจากต่อมไขมันโดยตรง (Antisebum)</t>
  </si>
  <si>
    <t>ทำให้เกิดเชื้อแบคทีเรียดื้อยาได้ง่ายหากใช้ต่อเนื่องเกิน 4 สัปดาห์</t>
  </si>
  <si>
    <t>มีฤทธิ์ยับยั้งการสร้างเม็ดสีเมลานินอย่างถาวร</t>
  </si>
  <si>
    <t>ไม่ก่อให้เกิดอาการระคายเคือง แสบ แดง หรือผิวแห้งลอก</t>
  </si>
  <si>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</si>
  <si>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 acne ดื้อเป็นปัญหาสำคัญ</t>
  </si>
  <si>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</si>
  <si>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ควรเลือกใช้ยาใดในการรักษา จึงจะเหมาะสมที่สุด</t>
  </si>
  <si>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</si>
  <si>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90 (PLE_CC1_Key_Rx20_UBU.md)</t>
  </si>
  <si>
    <t>หากผู้ป่วยได้รับยาต้านเชื้อรา Ketoconazole ชนิดรับประทาน คำแนะนำและการเฝ้าระวังที่สำคัญที่สุดคือข้อใด</t>
  </si>
  <si>
    <t>เฝ้าระวังอาการพิษต่อตับ (Hepatotoxicity) เช่น คลื่นไส้ อ่อนเพลีย ตัวเหลืองตาเหลือง และตรวจการทำงานของตับ (LFTs)</t>
  </si>
  <si>
    <t>ควรรับประทานร่วมกับยาลดกรด Omeprazole เพื่อป้องกันการระคายเคืองกระเพาะอาหาร</t>
  </si>
  <si>
    <t>ยานี้ไม่มีปฏิกิริยาระหว่างยาผ่านเอนไซม์ CYP450 สามารถทานร่วมกับยาทุกชนิดได้ปลอดภัย</t>
  </si>
  <si>
    <t>แนะนำให้รับประทานยาวันละ 4 ครั้งก่อนอาหารเพื่อเพิ่มการดูดซึม</t>
  </si>
  <si>
    <t>หากลืมรับประทานยา ให้เพิ่มขนาดยาเป็นสองเท่าในมื้อถัดไปทันที</t>
  </si>
  <si>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</si>
  <si>
    <t>ข้อ 91 (PLE_CC1_Key_Rx20_UBU.md)</t>
  </si>
  <si>
    <t>ถ้าผู้ป่วยได้รับ Ketoconazole ร่วมด้วย จะเกิดอะไรขึ้น</t>
  </si>
  <si>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</si>
  <si>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คำแนะนำใดเหมาะสมในผู้ป่วยรายนี้</t>
  </si>
  <si>
    <t>ควรรับประทานยาคุมเพื่อป้องกันการตั้งครรภ์ทารกวิรูป</t>
  </si>
  <si>
    <t>ระหว่างที่กินยานี้ หลีกเลี่ยงรังสี UV</t>
  </si>
  <si>
    <t>ควรกินยาก่อนอาหารเช้า-ก่อนนอน</t>
  </si>
  <si>
    <t>อาจทำให้ผิวหนัง-เล็บเปลี่ยนสี</t>
  </si>
  <si>
    <t>ถ้ามีอาการไข้ เจ็บคอ และมีผื่นขึ้นควรไปพบแพทย์ คำอธิบาย carbamazepine -- HLAB 1502 -- SJS</t>
  </si>
  <si>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</si>
  <si>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 1 (PLE_CC1_Key_Rx20_UBU.md)</t>
  </si>
  <si>
    <t>ผู้ป่วยเป็นโรคอะไร</t>
  </si>
  <si>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</si>
  <si>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ยาต้านเชื้อราในข้อใดมีกลไกการออกฤทธิ์โดยยับยั้งการสังเคราะห์ DNA และ RNA ของเซลล์เชื้อรา</t>
  </si>
  <si>
    <t>Flucytosine (5-FC)</t>
  </si>
  <si>
    <t>Caspofungin</t>
  </si>
  <si>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</si>
  <si>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Antifungals</t>
  </si>
  <si>
    <t>ผู้ป่วยโรคผิวหนังอักเสบ Eczema ทายาสเตียรอยด์ความแรงปานกลางมา 5 วันแล้วอาการยังไม่ดีขึ้น ควรปรับเปลี่ยนการรักษาอย่างไร</t>
  </si>
  <si>
    <t>พิจารณาเพิ่มความแรงของ Topical Corticosteroid เป็น Potent agent ระยะสั้น หรือใช้ Topical Calcineurin Inhibitor</t>
  </si>
  <si>
    <t>เปลี่ยนไปใช้ยาฆ่าเชื้อรา Ketoconazole 2% cream ทาทันที</t>
  </si>
  <si>
    <t>ให้รับประทานยาปฏิชีวนะ Doxycycline 100 mg วันละ 2 ครั้ง</t>
  </si>
  <si>
    <t>หยุดทายาทุกชนิดแล้วล้างแผลด้วยแอลกอฮอล์ 70%</t>
  </si>
  <si>
    <t>เปลี่ยนไปทา Benzoyl peroxide 5% gel เช้า-เย็น</t>
  </si>
  <si>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</si>
  <si>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 (PLE_CC1_Key_Rx20_UBU.md)</t>
  </si>
  <si>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</si>
  <si>
    <t>Auspitz sign</t>
  </si>
  <si>
    <t>Koebner phenomenon</t>
  </si>
  <si>
    <t>Nikolsky sign</t>
  </si>
  <si>
    <t>Darier sign</t>
  </si>
  <si>
    <t>Hutchinson sign</t>
  </si>
  <si>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</si>
  <si>
    <t>ข้อ 92 (PLE_CC1_Key_Rx20_UBU.md)</t>
  </si>
  <si>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</si>
  <si>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กลไกยา topical steroid</t>
  </si>
  <si>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</si>
  <si>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97 (PLE_CC1_Key_Rx20_UBU.md)</t>
  </si>
  <si>
    <t>ข้อใดเป็นคำแนะนำที่ถูกต้องสำหรับผู้ป่วยที่เป็นสิวอักเสบระดับปานกลาง</t>
  </si>
  <si>
    <t>หลีกเลี่ยงการบีบแกะสิว และล้างหน้าด้วยผลิตภัณฑ์สูตรอ่อนโยนวันละไม่เกิน 2 ครั้ง</t>
  </si>
  <si>
    <t>ควรขัดถูใบหน้าแรงๆ ทุกวันเพื่อขจัดสิ่งอุดตันในรูขุมขน</t>
  </si>
  <si>
    <t>งดการทาครีมกันแดดเพราะจะทำให้รูขุมขนอุดตันเสมอ</t>
  </si>
  <si>
    <t>หากใช้ยาทาแล้วมีอาการแสบลอก ให้ทายาปริมาณมากขึ้นเพื่อให้ผิวปรับตัว</t>
  </si>
  <si>
    <t>หยุดยาทันทีเมื่อตุ่มสิวยุบลงโดยไม่ต้องทายาป้องกันการเกิดซ้ำ</t>
  </si>
  <si>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</si>
  <si>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Erythematus nodular _ F คน อาการข้างเคียงของ isotretinoin ได้แก่ ผิวหนังแดง Erytematous, ผิวบาง Peeling, ผิวไวต่อแสง, เอนไซม์ตับสูง, ผมร่วงผมบาง,</t>
  </si>
  <si>
    <t>Ketoconazole 2% shampoo</t>
  </si>
  <si>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</si>
  <si>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</si>
  <si>
    <t>Nystatin oral suspension</t>
  </si>
  <si>
    <t>Acyclovir tablet</t>
  </si>
  <si>
    <t>Metronidazole gel</t>
  </si>
  <si>
    <t>Amoxicillin dry syrup</t>
  </si>
  <si>
    <t>Hydrocortisone oral paste</t>
  </si>
  <si>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</si>
  <si>
    <t>ยาในข้อใดไม่สามารถนำมาใช้รักษาโรคกลากได้</t>
  </si>
  <si>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</si>
  <si>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54 (PLE_CC1_Key_Rx20_UBU.md)</t>
  </si>
  <si>
    <t>ถ้าหากเพื่อนเป็นเกลื้อนยาในข้อใดใช้ไม่ได้ผล</t>
  </si>
  <si>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</si>
  <si>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55 (PLE_CC1_Key_Rx20_UBU.md)</t>
  </si>
  <si>
    <t>ชั้นผิวหนังชั้นใดที่มีบทบาทเป็น Main barrier / Rate-limiting barrier ในการควบคุมการดูดซึมของยาทาเข้าสู่ผิวหนัง</t>
  </si>
  <si>
    <t>Stratum corneum</t>
  </si>
  <si>
    <t>Stratum lucidum</t>
  </si>
  <si>
    <t>Stratum granulosum</t>
  </si>
  <si>
    <t>Stratum spinosum</t>
  </si>
  <si>
    <t>Dermis</t>
  </si>
  <si>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</si>
  <si>
    <t>ข้อ 67 (PLE_CC1_Key_Rx20_UBU.md)</t>
  </si>
  <si>
    <t>ชั้นผิวหนังชั้นใดที่มีบทบาทสำคัญที่สุดในการขัดขวางและจำกัดอัตราการดูดซึมยาผ่านผิวหนัง (Rate-limiting barrier / Major barrier)</t>
  </si>
  <si>
    <t>Stratum basale</t>
  </si>
  <si>
    <t>Dermis layer</t>
  </si>
  <si>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</si>
  <si>
    <t>ข้อ 84 (PLE_CC1_Key_Rx20_UBU.md)</t>
  </si>
  <si>
    <t>การปฐมพยาบาลเบื้องต$นที่เหมาะสมที่สุดสำหรับผู$ป&amp;วยรายนี้คือข$อใด</t>
  </si>
  <si>
    <t>ใช$ยาสีฟ[นทา</t>
  </si>
  <si>
    <t>ราดด$วยน้ำมันมะกอก</t>
  </si>
  <si>
    <t>ล$างด$วยน้ำเย็น</t>
  </si>
  <si>
    <t>ล$างด$วยนำเย็นสลับกับน้ำอุGน</t>
  </si>
  <si>
    <t>ล$างด$วยน้ำอุGน</t>
  </si>
  <si>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</si>
  <si>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ตGอมาตุGมน้ำแตก ผู$ป&amp;วยควรทำความสะอาดแผลด$วยสารตGอไปนี้ ยกเว$นข$อใด</t>
  </si>
  <si>
    <t>Rubbing alcohol</t>
  </si>
  <si>
    <t>Chlorhexidine</t>
  </si>
  <si>
    <t>Irrigated normal saline solution</t>
  </si>
  <si>
    <t>Acetic acid</t>
  </si>
  <si>
    <t>Povidone iodine</t>
  </si>
  <si>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</si>
  <si>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ตGอมาพบวGา ผู$ป&amp;วยมีตุGมหนองเกิดขึ้นบริเวณแผล เชื้อสาเหตุที่พบได$บGอยที่สุดคือข$อใด</t>
  </si>
  <si>
    <t>Streptococcus pyogenes</t>
  </si>
  <si>
    <t>Streptococcus pneumoniae</t>
  </si>
  <si>
    <t>Staphylococcus epidemidis</t>
  </si>
  <si>
    <t>Escherichia coli</t>
  </si>
  <si>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</si>
  <si>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ผู$ป&amp;วยควรได$รับยาปฏิชีวนะชนิดรับประทานตามข$อใด</t>
  </si>
  <si>
    <t>Sulfacillin 250mg podlD ย 2 yน น</t>
  </si>
  <si>
    <t>Dicloxacillin</t>
  </si>
  <si>
    <t>Clindamycin 150 →ออmg po QlDEE 2 yน x.</t>
  </si>
  <si>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</si>
  <si>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ภายหลังมีการนำเอาหนองจากแผลของผู$ป&amp;วยไปเพาะเชื้อพบวGา MRSA positive ควรเลือกใช$ยาปฏิชีวนะชนิดใช$เฉพาะที่ในข$อใด</t>
  </si>
  <si>
    <t>Polymyxin</t>
  </si>
  <si>
    <t>Neomycin</t>
  </si>
  <si>
    <t>Mupirocin</t>
  </si>
  <si>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</si>
  <si>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7 (PLE_CC1_Key_Rx20_UBU.md)</t>
  </si>
  <si>
    <t>ภาวะดังกลGาวนี้ เรียกวGาอะไร (1) Anaphylaxis (2) Angioedema (3) Urticaria (4) Septic shock (5) Red man syndrome และมีอาการปากบวม ตาบวม แนGนหน$าอก หายใจไมGออก</t>
  </si>
  <si>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</si>
  <si>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78 (PLE_CC1_Key_Rx20_UBU.md)</t>
  </si>
  <si>
    <t>ลักษณะสิวข$างต$นจัดอยูGในความรุนแรงระดับใด</t>
  </si>
  <si>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</si>
  <si>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ผู้ป่วยวัยรุ่นมีสิวอุดตันเป็นหลัก (Comedonal acne) ยาทาชนิดใดที่เลือกใช้เป็นอันดับแรก (First-line topical monotherapy)</t>
  </si>
  <si>
    <t>Topical Retinoid (เช่น Adapalene หรือ Tretinoin)</t>
  </si>
  <si>
    <t>Topical Clindamycin gel เดี่ยวๆ</t>
  </si>
  <si>
    <t>Oral Doxycycline</t>
  </si>
  <si>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</si>
  <si>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เชื้อแบคทีเรียประจำถิ่นที่เจริญในรูขุมขนและมีบทบาทสำคัญในการกระตุ้นการอักเสบของสิว (Acne vulgaris) คือเชื้อใด</t>
  </si>
  <si>
    <t>Cutibacterium acnes (Propionibacterium acnes)</t>
  </si>
  <si>
    <t>Staphylococcus epidermidis</t>
  </si>
  <si>
    <t>Pseudomonas aeruginosa</t>
  </si>
  <si>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</si>
  <si>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</si>
  <si>
    <t>สิวระดับปานกลาง (Moderate acne)</t>
  </si>
  <si>
    <t>สิวระดับเล็กน้อย (Mild acne)</t>
  </si>
  <si>
    <t>สิวระดับรุนแรง (Severe acne)</t>
  </si>
  <si>
    <t>สิวหัวช้าง (Nodulocystic acne)</t>
  </si>
  <si>
    <t>สิวที่เกิดจากยา (Drug-induced acne)</t>
  </si>
  <si>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</si>
  <si>
    <t>ข้อใดไม่ถูกต้องเกี่ยวกับยา Isotretinoin ชนิดรับประทานในการรักษาสิว</t>
  </si>
  <si>
    <t>สามารถจ่ายให้กับหญิงวัยเจริญพันธุ์ได้ทันทีโดยไม่ต้องตรวจการตั้งครรภ์หรือคุมกำเนิด</t>
  </si>
  <si>
    <t>ควรรับประทานพร้อมอาหารหรือหลังอาหารทันทีเพื่อเพิ่มการดูดซึม</t>
  </si>
  <si>
    <t>ผลข้างเคียงเด่นคือ ริมฝีปากแห้ง ผิวแห้ง ตาแห้ง และเยื่อบุแห้ง</t>
  </si>
  <si>
    <t>อาจทำให้ระดับไตรกลีเซอไรด์และเอนไซม์การทำงานของตับในเลือดสูงขึ้นได้</t>
  </si>
  <si>
    <t>มีข้อห้ามใช้ร่วมกับยากลุ่ม Tetracyclines เนื่องจากเสี่ยงต่อภาวะ Pseudotumor cerebri</t>
  </si>
  <si>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</si>
  <si>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เชื้อในข้อใดเป็นสาเหตุสำคัญของการเกิดแผลติดเชื้อที่กระจกตา (Corneal ulcer) ในผู้ใส่คอนแทคเลนส์ที่อาจทำให้ตาบอดได้อย่างรวดเร็ว</t>
  </si>
  <si>
    <t>Cutibacterium acnes</t>
  </si>
  <si>
    <t>Trichophyton rubrum</t>
  </si>
  <si>
    <t>Sarcoptes scabiei</t>
  </si>
  <si>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</si>
  <si>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25 (PLE_CC1_Key_Rx20_UBU.md)</t>
  </si>
  <si>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</si>
  <si>
    <t>ยาอันตราย</t>
  </si>
  <si>
    <t>ยาควบคุมพิเศษ</t>
  </si>
  <si>
    <t>ยาสามัญประจำบ้านแผนปัจจุบัน</t>
  </si>
  <si>
    <t>ยาบรรจุเสร็จที่ไม่ใช่ยาอันตราย</t>
  </si>
  <si>
    <t>วัตถุออกฤทธิ์ต่อจิตและประสาทประเภท 4</t>
  </si>
  <si>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</si>
  <si>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</si>
  <si>
    <t>ไม่เกิน 1 มิลลิลิตร</t>
  </si>
  <si>
    <t>ไม่เกิน 2 ถึง 5 มิลลิลิตร (ขึ้นกับขนาดกล้ามเนื้อ)</t>
  </si>
  <si>
    <t>ไม่เกิน 10 มิลลิลิตร</t>
  </si>
  <si>
    <t>ไม่เกิน 15 มิลลิลิตร</t>
  </si>
  <si>
    <t>ไม่จำกัดปริมาตรหากฉีดช้าๆ</t>
  </si>
  <si>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</si>
  <si>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Pharmaceutics</t>
  </si>
  <si>
    <t>ข$อใดไมGใชGวิธีการปฐมพยาบาลเบื้องต$นที่เหมาะสม</t>
  </si>
  <si>
    <t>ล$างแผลด$วยน้ำสบูGปริมาณมาก</t>
  </si>
  <si>
    <t>เช็ดแผลด$วย Chlorhexidine</t>
  </si>
  <si>
    <t>เช็ดแผลด$วย Rubbing alcohol</t>
  </si>
  <si>
    <t>ทานยาแก$ปวด Paracetamol ได$ตามสมควร</t>
  </si>
  <si>
    <t>ทาครีม Clindamycin เพื่อฆGาเชื้อแบคทีเรีย (จากแนวทางการดำเนินงานปนองกันควบคุมโรคพิษสุนัขบ$า 2560)</t>
  </si>
  <si>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</si>
  <si>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ปัจจัยใดน่าจะเป็นสาเหตุที่ทำให้ผู้ป่วยเป็นโรคดังกล่าวมากที่สุด</t>
  </si>
  <si>
    <t>ใส่เสื้อผ้าอับชื้น</t>
  </si>
  <si>
    <t>น้ำที่ใช้อาบไม่สะอาด</t>
  </si>
  <si>
    <t>เคยเป็นเริมที่ผิวหนัง</t>
  </si>
  <si>
    <t>โรคความดันโลหิตสูง ตอบ ก. ใส่เสื้อผ้าอับชื้น</t>
  </si>
  <si>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</si>
  <si>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ยาที่ผู้ป่วยควรได้รับ</t>
  </si>
  <si>
    <t>Griseofluvin</t>
  </si>
  <si>
    <t>Ketoclonazole</t>
  </si>
  <si>
    <t>Teribinafine</t>
  </si>
  <si>
    <t>Benzyl benzoate ตอบ ข. Itraconazole</t>
  </si>
  <si>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</si>
  <si>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ยาใดมีพิษต่อตับมากที่สุด</t>
  </si>
  <si>
    <t>Terbenafine</t>
  </si>
  <si>
    <t>… ตอบ ค. Ketoclonazole</t>
  </si>
  <si>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</si>
  <si>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</si>
  <si>
    <t>Measles (โรคหัด)</t>
  </si>
  <si>
    <t>Rubella (หัดเยอรมัน)</t>
  </si>
  <si>
    <t>Chickenpox (อีสุกอีใส)</t>
  </si>
  <si>
    <t>Roseola infantum</t>
  </si>
  <si>
    <t>Scarlet fever</t>
  </si>
  <si>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</si>
  <si>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Norfloxacin ต่อมาผู้ป่วยมีอาการตกขาวซ้ำ มีอาการคัน แพทยวินิจฉัย เป็นตกขาวจากเชื้อรา จึงได้สั่งจายยา fluconazole ให้</t>
  </si>
  <si>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</si>
  <si>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ข้อใดน่าจะเป็นสาเหตุของ Toxic epidermal necrolyisis นี้</t>
  </si>
  <si>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</si>
  <si>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ข้อใดไม่ใช่ลักษณะที่แพทย์ใช้แยกภาวะ Toxic Epidermal Necrolysis (TEN) ออกจาก Stevens-Johnson Syndrome (SJS)</t>
  </si>
  <si>
    <t>พื้นที่ผิวหนังหลุดลอก (Detachment of BSA) มากกว่า 30%</t>
  </si>
  <si>
    <t>อาการแสดงของ Nikolsky sign ให้ผลบวก</t>
  </si>
  <si>
    <t>อัตราการเสียชีวิต (Mortality rate) ของ TEN สูงกว่า SJS อย่างมีนัยสำคัญ</t>
  </si>
  <si>
    <t>รอยโรคในเยื่อบุ (Mucosal involvement) รุนแรงและกว้างขวางกว่า</t>
  </si>
  <si>
    <t>การเกิดผื่นเป็นผลมาจากปฏิกิริยา Type I IgE-mediated hypersensitivity</t>
  </si>
  <si>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</si>
  <si>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</si>
  <si>
    <t>Toxic Epidermal Necrolysis (TEN)</t>
  </si>
  <si>
    <t>SJS/TEN overlap</t>
  </si>
  <si>
    <t>Staphylococcal Scalded Skin Syndrome (SSSS)</t>
  </si>
  <si>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</si>
  <si>
    <t>เหตุผลสำคัญที่สุดในการทำการทดสอบทางผิวหนัง (Skin test) ก่อนให้เซรุ่มแก้พิษงูที่เตรียมจากม้า (Equine antivenom) คือข้อใด</t>
  </si>
  <si>
    <t>เพื่อประเมินความเสี่ยงต่อการเกิด Immediate IgE-mediated anaphylaxis จากโปรตีนแปลกปลอมของม้า</t>
  </si>
  <si>
    <t>เพื่อตรวจวัดระดับภูมิต้านทานต่อพิษงูที่มีอยู่เดิมในร่างกายผู้ป่วย</t>
  </si>
  <si>
    <t>เพื่อคำนวณขนาดยาเซรุ่มที่ต้องใช้ในการรักษาให้แม่นยำขึ้น</t>
  </si>
  <si>
    <t>เพื่อป้องกันการเกิดภาวะไตวายเฉียบพลันจากพิษงู</t>
  </si>
  <si>
    <t>เพื่อทดสอบประสิทธิภาพในการทำลายพิษงูของเซรุ่ม</t>
  </si>
  <si>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</si>
  <si>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Toxicology &amp; ADR</t>
  </si>
  <si>
    <t>ข้อใดต่อไปนี้ถูกต้องเกี่ยวกับเกลื้อน</t>
  </si>
  <si>
    <t>หากมีอาการรุนแรง จะเป็นขุย แดง คัน</t>
  </si>
  <si>
    <t>เมื่อทดสอบด้วย 10% KOH แล้วนาไปส่องกล้องจุลทรรศน์ จะเห็น long pseudohyphae</t>
  </si>
  <si>
    <t>หากเป็นโรคบ่อยๆ ควรได้รับยาป้องกัน</t>
  </si>
  <si>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</si>
  <si>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11 (PLE_CC1_Key_Rx20_UBU.md)</t>
  </si>
  <si>
    <t>หากไม่มียา Fluocinolone acetonide 0.01% เภสัชกรสามารถจ่ายยาใดแทนได้</t>
  </si>
  <si>
    <t>Hydrocortisone acetate 0.5% คำอธิบาย</t>
  </si>
  <si>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</si>
  <si>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93 (PLE_CC1_Key_Rx20_UBU.md)</t>
  </si>
  <si>
    <t>ผู้ป่วยควรได้รับยาในข้อใดเพิ่ม</t>
  </si>
  <si>
    <t>Topical tretinoin</t>
  </si>
  <si>
    <t>Oral tretinoin</t>
  </si>
  <si>
    <t>Oral antibiotic</t>
  </si>
  <si>
    <t>contraceptive pills (Progestin only)</t>
  </si>
  <si>
    <t>Combined oral contraceptives ที่มีฤทธิ์ anti-androgen</t>
  </si>
  <si>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</si>
  <si>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ผลข้างเคียงข้อใดไม่ใช่ผลข้างเคียงของ Topical tretinoin</t>
  </si>
  <si>
    <t>Acne sores</t>
  </si>
  <si>
    <t>Erythema</t>
  </si>
  <si>
    <t>Peeling</t>
  </si>
  <si>
    <t>Phototoxicity</t>
  </si>
  <si>
    <t>Skin hyperpigmentation</t>
  </si>
  <si>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</si>
  <si>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ศึกษาเปรียบเทียบความคุ้มค่าของการใช้ clotrimazole 500 mg OD กับ clotrimazole 100 mg 6 days ใช้แนวทางการศึกษาแบบไหนดีที่สุด</t>
  </si>
  <si>
    <t>Cost analysis</t>
  </si>
  <si>
    <t>Cost benefit analysis</t>
  </si>
  <si>
    <t>Cost minimize analysis</t>
  </si>
  <si>
    <t>Cost-Effectiveness Analysis (CEA)</t>
  </si>
  <si>
    <t>Cost-Utility Analysis (CUA)</t>
  </si>
  <si>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</si>
  <si>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Pharmacoeconomics</t>
  </si>
  <si>
    <t>ข้อ 36 (PLE_CC1_Key_Rx20_UBU.md)</t>
  </si>
  <si>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</si>
  <si>
    <t>Clindamycin 1% topical solution</t>
  </si>
  <si>
    <t>Gentamicin 0.1% cream</t>
  </si>
  <si>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</si>
  <si>
    <t>Dermatologic Comorbidities</t>
  </si>
  <si>
    <t>PLE_CC1_2567_Set1_Key ข้อ 57</t>
  </si>
  <si>
    <t>ผู้ป่วยเบาหวานชนิดที่ 2 รายใหม่ (Type 2 DM) ระดับ HbA1c 7.8% การทำงานของไต eGFR 70 mL/min ยาทางเลือกอันดับ 1 (First-line) สำหรับผู้ป่วยรายนี้คือข้อใด?</t>
  </si>
  <si>
    <t>Glipizide 5 mg OD</t>
  </si>
  <si>
    <t>Metformin 500 mg BID</t>
  </si>
  <si>
    <t>Pioglitazone 15 mg OD</t>
  </si>
  <si>
    <t>Sitagliptin 100 mg OD</t>
  </si>
  <si>
    <t>Insulin glargine 10 units SC bedtime</t>
  </si>
  <si>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</si>
  <si>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Diabetes mellitus</t>
  </si>
  <si>
    <t>ADA Standards of Care</t>
  </si>
  <si>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</si>
  <si>
    <t>Blood glucose &gt; 150 mg/dL</t>
  </si>
  <si>
    <t>HbA1c &lt; 7%</t>
  </si>
  <si>
    <t>ปัสสาวะมากกว่า 3 ลิตร/วัน</t>
  </si>
  <si>
    <t>Insulin ในเลือดต่ำ</t>
  </si>
  <si>
    <t>Glucose tolerance test &gt; 200 mg/dL</t>
  </si>
  <si>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</si>
  <si>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 ชุด 1 (เฉลยข้อ จ)</t>
  </si>
  <si>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</si>
  <si>
    <t>Hypoglycemia</t>
  </si>
  <si>
    <t>Hyperglycemia</t>
  </si>
  <si>
    <t>Hypervolemia</t>
  </si>
  <si>
    <t>Hypovolemia</t>
  </si>
  <si>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</si>
  <si>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2 ชุด 1 (เฉลยข้อ ก)</t>
  </si>
  <si>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</si>
  <si>
    <t>หยุดยา แล้วไปพบแพทย์</t>
  </si>
  <si>
    <t>ลดขนาดยา</t>
  </si>
  <si>
    <t>ให้ดื่มน้ำหวาน</t>
  </si>
  <si>
    <t>เพิ่มขนาดยา</t>
  </si>
  <si>
    <t>งดการดื่มกาแฟ</t>
  </si>
  <si>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</si>
  <si>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 ชุด 1 (เฉลยข้อ ค)</t>
  </si>
  <si>
    <t>ข้อใด ไม่ใช่ ภาวะแทรกซ้อนระยะยาวของโรคเบาหวาน</t>
  </si>
  <si>
    <t>Neuropathy</t>
  </si>
  <si>
    <t>Glaucoma</t>
  </si>
  <si>
    <t>Atherosclerosis</t>
  </si>
  <si>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</si>
  <si>
    <t>ข้อ 4 ชุด 1 (เฉลยข้อ )</t>
  </si>
  <si>
    <t>ในโรงพยาบาลมี glipizide MR 30 mg แต่แพทย์ต้องการใช้ 15 mg สามารถแบ่งได้หรือไม่</t>
  </si>
  <si>
    <t>แบ่งได้ เพราะได้ปริมาณยาเท่ากัน</t>
  </si>
  <si>
    <t>แบ่งได้ หักแบ่งแล้วละลายน้ำ</t>
  </si>
  <si>
    <t>แบ่งไม่ได้ เพราะมีผลต่อการปลดปล่อยยา</t>
  </si>
  <si>
    <t>แบ่งไม่ได้ เพราะตัวยาที่ได้อาจไม่เท่ากัน</t>
  </si>
  <si>
    <t>แบ่งไม่ได้ เพราะยาสลายตัวเมื่อสัมผัสสิ่งแวดล้อม</t>
  </si>
  <si>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</si>
  <si>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5 ชุด 1 (เฉลยข้อ ค)</t>
  </si>
  <si>
    <t>ข้อใดคือกลไกการออกฤทธิ์ของยา chlorpropamide</t>
  </si>
  <si>
    <t>กระตุ้นการหลั่งอินซูลิน</t>
  </si>
  <si>
    <t>เพิ่มความไวของอินซูลินที่กล้ามเนื้อ</t>
  </si>
  <si>
    <t>ลดการดูดซึมน้ำตาลในทางเดินอาหาร</t>
  </si>
  <si>
    <t>ยับยั้งการย่อยน้ำตาลในลำไส้</t>
  </si>
  <si>
    <t>ลดการสร้างน้ำตาลกลูโคสในตับ</t>
  </si>
  <si>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</si>
  <si>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6 ชุด 1 (เฉลยข้อ ก)</t>
  </si>
  <si>
    <t>ยาฉีดอินซูลินในข้อใดที่ออกฤทธิ์แบบ intermediate</t>
  </si>
  <si>
    <t>Regular insulin</t>
  </si>
  <si>
    <t>Neutral insulin</t>
  </si>
  <si>
    <t>NPH insulin</t>
  </si>
  <si>
    <t>Insulin lispro</t>
  </si>
  <si>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</si>
  <si>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 ชุด 1 (เฉลยข้อ ค)</t>
  </si>
  <si>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</si>
  <si>
    <t>DM type 2</t>
  </si>
  <si>
    <t>DM type 1</t>
  </si>
  <si>
    <t>Gestational DM</t>
  </si>
  <si>
    <t>Classification DM</t>
  </si>
  <si>
    <t>DM type 3</t>
  </si>
  <si>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</si>
  <si>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 ชุด 1 (เฉลยข้อ ก)</t>
  </si>
  <si>
    <t>Drug of choice ในการรักษา DM ตาม ADA Guideline คือยาใด</t>
  </si>
  <si>
    <t>Sulfonylurea</t>
  </si>
  <si>
    <t>TZDs</t>
  </si>
  <si>
    <t>Alpha-glucosidase</t>
  </si>
  <si>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</si>
  <si>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9 ชุด 1 (เฉลยข้อ ก)</t>
  </si>
  <si>
    <t>เป้าหมายของโรคเบาหวานในผู้ป่วยทั่วไป ตาม ADA Guideline คือ</t>
  </si>
  <si>
    <t>HbA1C &lt; 6.5</t>
  </si>
  <si>
    <t>HbA1C &lt; 7</t>
  </si>
  <si>
    <t>HbA1C &lt; 7.5</t>
  </si>
  <si>
    <t>HbA1C &lt; 8</t>
  </si>
  <si>
    <t>HbA1C &lt; 8.5</t>
  </si>
  <si>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</si>
  <si>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10 ชุด 1 (เฉลยข้อ ข)</t>
  </si>
  <si>
    <t>ข้อใดไม่ใช่ S/E ของยาลดระดับน้ำตาลชนิดรับประทาน</t>
  </si>
  <si>
    <t>Lipoatrophy</t>
  </si>
  <si>
    <t>Ketonuria</t>
  </si>
  <si>
    <t>Hepatotoxic</t>
  </si>
  <si>
    <t>Lactic acidosis</t>
  </si>
  <si>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</si>
  <si>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11 ชุด 1 (เฉลยข้อ ก)</t>
  </si>
  <si>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</si>
  <si>
    <t>Rapid acting</t>
  </si>
  <si>
    <t>Short acting</t>
  </si>
  <si>
    <t>Inhaler</t>
  </si>
  <si>
    <t>Long acting</t>
  </si>
  <si>
    <t>Intermediate</t>
  </si>
  <si>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</si>
  <si>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12 ชุด 1 (เฉลยข้อ ง)</t>
  </si>
  <si>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</si>
  <si>
    <t>พ่อ แม่มีประวัติเป็นโรคเบาหวานและความดันโลหิตสูง</t>
  </si>
  <si>
    <t>แม่เสียชีวิตด้วยโรคหัวใจและหลอดเลือด</t>
  </si>
  <si>
    <t>มีประวัติชอบสูบบุหรี่</t>
  </si>
  <si>
    <t>ออกกำลังกาย 1-2 ครั้งต่อเดือน</t>
  </si>
  <si>
    <t>ชอบรับประทานอาหารเค็ม</t>
  </si>
  <si>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</si>
  <si>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13 ชุด 1 (เฉลยข้อ ข)</t>
  </si>
  <si>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</si>
  <si>
    <t>แม่เป็นเบาหวานและความดัน</t>
  </si>
  <si>
    <t>แม่ตายด้วยโรคหัวใจขาดเลือด</t>
  </si>
  <si>
    <t>สูบบุหรี่วันละ 20 มวน</t>
  </si>
  <si>
    <t>ออกกำลังกาย 1-2 ครั้ง/เดือน</t>
  </si>
  <si>
    <t>ดื่มไวน์ 1-2 แก้ว/เดือน</t>
  </si>
  <si>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</si>
  <si>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14 ชุด 1 (เฉลยข้อ ก)</t>
  </si>
  <si>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</si>
  <si>
    <t>งดสูบบุหรี่</t>
  </si>
  <si>
    <t>ออกกำลังกายเพิ่มเติม</t>
  </si>
  <si>
    <t>ลดการบริโภคน้ำตาล</t>
  </si>
  <si>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</si>
  <si>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15 ชุด 1 (เฉลยข้อ ข)</t>
  </si>
  <si>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</si>
  <si>
    <t>ผู้ป่วยเป็น pre-diabetes ให้เปลี่ยนพฤติกรรมการกิน และคอยตรวจเป็นประจำทุก 1-3 ปี</t>
  </si>
  <si>
    <t>สงสัยว่าผู้ป่วยเป็นเบาหวาน แนะนำให้ออกกำลังกาย</t>
  </si>
  <si>
    <t>เป็น DM type 2 ต้องรีบให้ยาพร้อมปรับเปลี่ยนพฤติกรรมเพื่อรักษาผู้ป่วย</t>
  </si>
  <si>
    <t>ผู้ป่วยเป็น pre-diabetes แนะนำให้มาเจาะเลือดทุก 3 ปี</t>
  </si>
  <si>
    <t>ผู้ป่วยเป็น DM type 2 ให้รีบส่งต่อผู้ป่วย</t>
  </si>
  <si>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</si>
  <si>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16 ชุด 1 (เฉลยข้อ ค)</t>
  </si>
  <si>
    <t>2 ปีต่อมา ผู้ป่วยมาพบแพทย์ มีค่า Lab ดังนี้
FBS 210 mg% จ่าย Metformin 1x2 60
ค่าผลปฏิบัติการใดที่บ่งบอกว่าผู้ป่วยเป็น hyperglycemia</t>
  </si>
  <si>
    <t>FBS 210%</t>
  </si>
  <si>
    <t>Cholesterol</t>
  </si>
  <si>
    <t>LDL</t>
  </si>
  <si>
    <t>HDL 35%</t>
  </si>
  <si>
    <t>TGS</t>
  </si>
  <si>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</si>
  <si>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17 ชุด 1 (เฉลยข้อ ก)</t>
  </si>
  <si>
    <t>2 ปีต่อมา ผู้ป่วยมาพบแพทย์ มีค่า Lab ดังนี้
FBS 210 mg% จ่าย Metformin 1x2 60
ยาที่แพทย์สั่งจ่ายอยู่ในกลุ่มใด</t>
  </si>
  <si>
    <t>Biguanide</t>
  </si>
  <si>
    <t>Glitazone</t>
  </si>
  <si>
    <t>GLP-1 analogue</t>
  </si>
  <si>
    <t>Incretin analogue</t>
  </si>
  <si>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</si>
  <si>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18 ชุด 1 (เฉลยข้อ ก)</t>
  </si>
  <si>
    <t>อาการไม่พึงประสงค์ที่เกิดขึ้นบ่อยจากยาตัวนี้</t>
  </si>
  <si>
    <t>Anorexia</t>
  </si>
  <si>
    <t>Flatulence</t>
  </si>
  <si>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</si>
  <si>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19 ชุด 1 (เฉลยข้อ ก)</t>
  </si>
  <si>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</si>
  <si>
    <t>Dizziness</t>
  </si>
  <si>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</si>
  <si>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20 ชุด 1 (เฉลยข้อ ก)</t>
  </si>
  <si>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</si>
  <si>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</si>
  <si>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21 ชุด 1 (เฉลยข้อ ค)</t>
  </si>
  <si>
    <t>ผู้ป่วยโรคใดมีข้อห้ามใช้ยา metformin</t>
  </si>
  <si>
    <t>Obesity</t>
  </si>
  <si>
    <t>Hyperlipidemia</t>
  </si>
  <si>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</si>
  <si>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22 ชุด 1 (เฉลยข้อ ก)</t>
  </si>
  <si>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</si>
  <si>
    <t>Alpha-blockers</t>
  </si>
  <si>
    <t>B-blockers</t>
  </si>
  <si>
    <t>Loop diuretics</t>
  </si>
  <si>
    <t>Thiazides</t>
  </si>
  <si>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</si>
  <si>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23 ชุด 1 (เฉลยข้อ ก)</t>
  </si>
  <si>
    <t>กลไกการออกฤทธิ์ของยา chlorpropamide ในผู้ป่วยโรคเบาหวานได้แก่</t>
  </si>
  <si>
    <t>เพิ่ม insulin resistance ในผู้ป่วย</t>
  </si>
  <si>
    <t>ลด insulin resistance ในผู้ป่วย</t>
  </si>
  <si>
    <t>กระตุ้นการหลั่งของ insulin ในผู้ป่วย</t>
  </si>
  <si>
    <t>ข้อ ก และ ค ถูก</t>
  </si>
  <si>
    <t>ข้อ ข และ ค ถูก</t>
  </si>
  <si>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</si>
  <si>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29 ชุด 1 (เฉลยข้อ ค)</t>
  </si>
  <si>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</si>
  <si>
    <t>ให้ผู้ป่วยหยุดยาทันทีเนื่องจากมีอาการแพ้ยา</t>
  </si>
  <si>
    <t>ให้เปลี่ยนขนาดยาเป็น 50 mg qd</t>
  </si>
  <si>
    <t>ให้ผู้ป่วยรับประทานยาหลังอาหาร</t>
  </si>
  <si>
    <t>ให้ผู้ป่วยรับประทานยาลดอาการคลื่นไส้อาเจียนร่วมด้วย</t>
  </si>
  <si>
    <t>ข้อ ข และ ค ถูกต้อง</t>
  </si>
  <si>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</si>
  <si>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30 ชุด 1 (เฉลยข้อ ง)</t>
  </si>
  <si>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</si>
  <si>
    <t>อาการคลื่นไส้ อาเจียน</t>
  </si>
  <si>
    <t>ระดับน้ำตาลในเลือดต่ำ</t>
  </si>
  <si>
    <t>ข้อ ก ข และ ค ถูก</t>
  </si>
  <si>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</si>
  <si>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31 ชุด 1 (เฉลยข้อ จ)</t>
  </si>
  <si>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</si>
  <si>
    <t>แนะนำให้ผู้ป่วยดื่มได้ตามปกติ</t>
  </si>
  <si>
    <t>แนะนำให้ผู้ป่วยดื่มได้บ้างแต่จำนวนน้อยลง</t>
  </si>
  <si>
    <t>แนะนำให้ผู้ป่วยหยุดดื่มจนกว่าอาการคลื่นไส้อาเจียนจะหายไป</t>
  </si>
  <si>
    <t>หากผู้ป่วยต้องการดื่มแอลกอฮอล์ให้ดื่มอย่างน้อย 2 ชั่วโมงก่อนหรือหลังรับประทานยา</t>
  </si>
  <si>
    <t>ให้ผู้ป่วยหยุดดื่มหากรับประทานยาตัวนี้อยู่</t>
  </si>
  <si>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</si>
  <si>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32 ชุด 1 (เฉลยข้อ จ)</t>
  </si>
  <si>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</si>
  <si>
    <t>Toxic reaction</t>
  </si>
  <si>
    <t>Overdose</t>
  </si>
  <si>
    <t>ผู้ป่วยไม่สามารถควบคุมการรับประทานอาหารให้เหมาะสมได้</t>
  </si>
  <si>
    <t>เป็นผลข้างเคียงจากยาตัวนี้</t>
  </si>
  <si>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</si>
  <si>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33 ชุด 1 (เฉลยข้อ จ)</t>
  </si>
  <si>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</si>
  <si>
    <t>ขนาดยา tolbutamide ที่ได้รับมีขนาดสูงเกินไป</t>
  </si>
  <si>
    <t>มีการเสริมฤทธิ์กันระหว่างยา Chlorpropamide และ tolbutamide เนื่องจากระยะเวลาในการออกฤทธิ์ของยา chlorpropamide เนิ่นนาน</t>
  </si>
  <si>
    <t>เป็นภาวะปกติของผู้ป่วยโรคเบาหวานเมื่อมีการเปลี่ยนแปลงยา</t>
  </si>
  <si>
    <t>ผู้ป่วยอาจรับประทานอาหารไม่ตรงเวลา และมีอาการคลื่นไส้อาเจียนที่เกิดจากผลข้างเคียงจากยา</t>
  </si>
  <si>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</si>
  <si>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34 ชุด 1 (เฉลยข้อ ข)</t>
  </si>
  <si>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</si>
  <si>
    <t>Chlorpropamide &gt; glyburide &gt; glipizide &gt; tolbutamide</t>
  </si>
  <si>
    <t>Tolbutamide &gt; glipizide &gt; glyburide &gt; chlorpropamide</t>
  </si>
  <si>
    <t>Glyburide &gt; tolbutamide &gt; glipizide &gt; chlorpropamide</t>
  </si>
  <si>
    <t>Glipizide &gt; glyburide &gt; chlorpropamide &gt; tolbutamide</t>
  </si>
  <si>
    <t>Tolbutamide &gt; chlorpropamide &gt; glyburide &gt; glipizide</t>
  </si>
  <si>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</si>
  <si>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35 ชุด 1 (เฉลยข้อ ก)</t>
  </si>
  <si>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</si>
  <si>
    <t>หิวน้ำบ่อย</t>
  </si>
  <si>
    <t>ปัสสาวะบ่อย</t>
  </si>
  <si>
    <t>เจ็บหน้าอก</t>
  </si>
  <si>
    <t>น้ำหนักลด</t>
  </si>
  <si>
    <t>อ่อนเพลีย</t>
  </si>
  <si>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</si>
  <si>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36 ชุด 1 (เฉลยข้อ ค)</t>
  </si>
  <si>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</si>
  <si>
    <t>ยา glibenclamide ควรรับประทานก่อนอาหารประมาณ 30 นาที</t>
  </si>
  <si>
    <t>ยา aspirin ควรรับประทานหลังอาหารทันที</t>
  </si>
  <si>
    <t>อาการไม่พึงประสงค์ที่อาจพบสำหรับยา glibenclamide คือ weight gain</t>
  </si>
  <si>
    <t>อาการไม่พึงประสงค์ของยา metformin ที่พบบ่อยได้แก่ hypoglycemia</t>
  </si>
  <si>
    <t>ไม่ควรดื่ม alcohol ร่วมกับยา glibenclamide</t>
  </si>
  <si>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</si>
  <si>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37 ชุด 1 (เฉลยข้อ ง)</t>
  </si>
  <si>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</si>
  <si>
    <t>Glucosidase</t>
  </si>
  <si>
    <t>Rosiglitazone</t>
  </si>
  <si>
    <t>Chlorpropamide</t>
  </si>
  <si>
    <t>Pioglitazone</t>
  </si>
  <si>
    <t>สามารถใช้ได้ทั้งหมด</t>
  </si>
  <si>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</si>
  <si>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38 ชุด 1 (เฉลยข้อ ก ค ง)</t>
  </si>
  <si>
    <t>ข้อใดกล่าวถูกต้องเกี่ยวกับกลไกการออกฤทธิ์ของ glibenclamide</t>
  </si>
  <si>
    <t>กระตุ้นการหลั่ง glucagon</t>
  </si>
  <si>
    <t>กระตุ้นการหลั่ง insulin จากตับอ่อน</t>
  </si>
  <si>
    <t>ลดการทำลาย insulin ที่ตับ</t>
  </si>
  <si>
    <t>กระตุ้นการหลั่ง somatostatin</t>
  </si>
  <si>
    <t>ทำให้ตอบสนองต่อ Insulin ดีขึ้น</t>
  </si>
  <si>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</si>
  <si>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39 ชุด 1 (เฉลยข้อ ข)</t>
  </si>
  <si>
    <t>ข้อใดเป็นผลที่อาจเกิดขึ้นได้จากการใช้ยา glibenclamide เป็นระยะเวลานาน</t>
  </si>
  <si>
    <t>Desensitization of sulfonylureas receptor</t>
  </si>
  <si>
    <t>Up-regulation of sulfonylureas receptor</t>
  </si>
  <si>
    <t>Down-regulation of sulfonylureas receptor</t>
  </si>
  <si>
    <t>Hyperinsulinemia</t>
  </si>
  <si>
    <t>Increase insulin sensitivity</t>
  </si>
  <si>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</si>
  <si>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40 ชุด 1 (เฉลยข้อ ค)</t>
  </si>
  <si>
    <t>ผู้ป่วยมาขอคำแนะนำในการทานใบแปะก๊วยร่วมด้วย อยากทราบว่า ใบแปะก๊วยจะมีผลกับยาที่ได้รับจากโรงพยาบาลหรือไม่</t>
  </si>
  <si>
    <t>มีผลโดยเสริมฤทธิ์ยับยั้งการแข็งตัวของเกร็ดเลือดของ aspirin</t>
  </si>
  <si>
    <t>มีผลโดยเสริมฤทธิ์ลดน้ำตาลในเลือดของ metformin</t>
  </si>
  <si>
    <t>มีผลโดยลดประสิทธิภาพการจับของยา isosorbide mononitrate</t>
  </si>
  <si>
    <t>มีผลโดยลดประสิทธิภาพการลดน้ำตาลในเลือดของ glibenclamide</t>
  </si>
  <si>
    <t>ไม่มี อันตรกิริยากับยาที่ได้รับจากโรงพยาบาล</t>
  </si>
  <si>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</si>
  <si>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41 ชุด 1 (เฉลยข้อ ก)</t>
  </si>
  <si>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</si>
  <si>
    <t>FPG 70-130, HbA1c &lt; 10</t>
  </si>
  <si>
    <t>FPG 70-150, HbA1c &lt; 7</t>
  </si>
  <si>
    <t>FPG 70-130, HbA1c &lt; 7</t>
  </si>
  <si>
    <t>FPG 80-150, HbA1c &lt; 10</t>
  </si>
  <si>
    <t>FPG 80-130, HbA1c &lt; 7</t>
  </si>
  <si>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</si>
  <si>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42 ชุด 1 (เฉลยข้อ จ)</t>
  </si>
  <si>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</si>
  <si>
    <t>รับประทานหลังอาหารทันที</t>
  </si>
  <si>
    <t>รับประทานก่อนอาหาร 30 นาที และให้อยู่ในท่านั่งห้ามนอน</t>
  </si>
  <si>
    <t>รับประทานโดยเคี้ยวพร้อมอาหารคำแรก</t>
  </si>
  <si>
    <t>รับประทานหลังอาหารไขมันเพื่อเพิ่มการดูดซึม</t>
  </si>
  <si>
    <t>ห้ามรับประทานพร้อมกับนม</t>
  </si>
  <si>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</si>
  <si>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43 ชุด 1 (เฉลยข้อ ค)</t>
  </si>
  <si>
    <t>เกี่ยวกับ glipizide ข้อใดผิด</t>
  </si>
  <si>
    <t>glipizide มีคุณสมบัติค่อนข้าง non-polar</t>
  </si>
  <si>
    <t>glipizide เมื่อละลายในต่างละลายได้ดี</t>
  </si>
  <si>
    <t>การเตรียมยา glipizide แบบ extended release tablet ไม่จำเป็นต้องทำในรูป salt form</t>
  </si>
  <si>
    <t>Glipizide มีสูตรโครงสร้างคล้ายกับ metformin</t>
  </si>
  <si>
    <t>Glipizide จัดอยู่ในกลุ่ม second generation drug ของการรักษา type 2 diabetes</t>
  </si>
  <si>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</si>
  <si>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50 ชุด 1 (เฉลยข้อ ง)</t>
  </si>
  <si>
    <t>Rosiglitazone เป็นยาลดระดับน้ำตาลในเลือดที่ ห้ามใช้ ในโรคเบาหวานชนิดที่ 1 เพราะ</t>
  </si>
  <si>
    <t>ลดระดับน้ำตาลในเลือดได้น้อยเมื่อให้ร่วมกับ insulin</t>
  </si>
  <si>
    <t>ลดระดับ insulin</t>
  </si>
  <si>
    <t>ทำให้ insulin ไม่สามารถออกฤทธิ์ได้เต็มที่</t>
  </si>
  <si>
    <t>อาจทำให้ระดับน้ำตาลในเลือดลดลงจนเกิด hypoglycemia</t>
  </si>
  <si>
    <t>ต้องอาศัย insulin ในการออกฤทธิ์ เนื่องจากจะช่วยเพิ่มความไวตัวรับของ insulin</t>
  </si>
  <si>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</si>
  <si>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51 ชุด 1 (เฉลยข้อ จ)</t>
  </si>
  <si>
    <t>ผลข้างเคียงสำคัญที่ต้องมีการเฝ้าระวังเป็นพิเศษสำหรับการใช้ยาในกลุ่ม thiazolidinedione คือ</t>
  </si>
  <si>
    <t>Hemolytic anemia</t>
  </si>
  <si>
    <t>Cardiotoxicity</t>
  </si>
  <si>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</si>
  <si>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52 ชุด 1 (เฉลยข้อ ค จ)</t>
  </si>
  <si>
    <t>ทำไม insulin ต้องให้แบบฉีด</t>
  </si>
  <si>
    <t>เพื่อให้ไร้เชื้อ</t>
  </si>
  <si>
    <t>เพื่อความคงสภาพ</t>
  </si>
  <si>
    <t>เพื่อให้ออกฤทธิ์เร็ว</t>
  </si>
  <si>
    <t>เพื่อให้ออกฤทธิ์ต่อเนื่อง</t>
  </si>
  <si>
    <t>เพื่อหลีกเลี่ยงการถูกทำลายในทางเดินอาหาร</t>
  </si>
  <si>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</si>
  <si>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53 ชุด 1 (เฉลยข้อ จ)</t>
  </si>
  <si>
    <t>ข้อใดผิดเกี่ยวกับ insulin</t>
  </si>
  <si>
    <t>Lispro คือการสลับตำแหน่งของ amino acid proline เป็น lysine เพื่อให้ออกฤทธิ์เร็ว</t>
  </si>
  <si>
    <t>Protamine ใน NPH ทำให้ออกฤทธิ์เร็ว</t>
  </si>
  <si>
    <t>ใน phosphate buffers ไม่สามารถผสม lente</t>
  </si>
  <si>
    <t>Insulin ในท้องตลาด มักจะเป็นแบบกึ่งสังเคราะห์ของหมูและวัว</t>
  </si>
  <si>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</si>
  <si>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54 ชุด 1 (เฉลยข้อ ข ง)</t>
  </si>
  <si>
    <t>ข้อใดเป็นข้อบ่งใช้ของ acarbose</t>
  </si>
  <si>
    <t>กระเพาะปัสสาวะอักเสบ</t>
  </si>
  <si>
    <t>ไต</t>
  </si>
  <si>
    <t>เบาหวาน</t>
  </si>
  <si>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</si>
  <si>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55 ชุด 1 (เฉลยข้อ ง)</t>
  </si>
  <si>
    <t>ยาใดทำให้เกิด hyperglycemia และ hypokalemia</t>
  </si>
  <si>
    <t>Hydrocortisone</t>
  </si>
  <si>
    <t>Bumetanide</t>
  </si>
  <si>
    <t>Prednisone</t>
  </si>
  <si>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</si>
  <si>
    <t>ข้อ 56 ชุด 1 (เฉลยข้อ ค)</t>
  </si>
  <si>
    <t>อาการที่เกิดขึ้นกับผู้ป่วยรายนี้ถือเป็น DRP ข้อใด</t>
  </si>
  <si>
    <t>Non-compliance</t>
  </si>
  <si>
    <t>Low dose</t>
  </si>
  <si>
    <t>High dose</t>
  </si>
  <si>
    <t>Inappropriate treatment</t>
  </si>
  <si>
    <t>Adverse drug reaction</t>
  </si>
  <si>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</si>
  <si>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85 ชุด 1 (เฉลยข้อ ก)</t>
  </si>
  <si>
    <t>ยาใดมีผลช่วยลด macrovascular complication ได้</t>
  </si>
  <si>
    <t>Acarbose และ metformin</t>
  </si>
  <si>
    <t>Glipizide และ pioglitazone</t>
  </si>
  <si>
    <t>SU และ metformin</t>
  </si>
  <si>
    <t>Repaglinide และ SU</t>
  </si>
  <si>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</si>
  <si>
    <t>ข้อ 86 ชุด 1 (เฉลยข้อ จ)</t>
  </si>
  <si>
    <t>ท่านจะแนะนำการรับประทานยา acarbose ชนิดเม็ดอย่างไร</t>
  </si>
  <si>
    <t>รับประทานก่อนอาหาร 30 นาที และอยู่ในท่านั่งสักครู่</t>
  </si>
  <si>
    <t>รับประทานพร้อมอาหารคำแรก</t>
  </si>
  <si>
    <t>รับประทานก่อนหรือหลังอาหารก็ได้</t>
  </si>
  <si>
    <t>เคี้ยวพร้อมอาหารคำแรก</t>
  </si>
  <si>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</si>
  <si>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87 ชุด 1 (เฉลยข้อ ค)</t>
  </si>
  <si>
    <t>เมื่อเปรียบเทียบ duration of action ของยาในกลุ่ม sulfonylureas พบว่าสามารถเรียงลำดับได้ดังนี้</t>
  </si>
  <si>
    <t>Chlorpropamide &gt; Glyburide &gt; Glipizide &gt; Tolbutamide</t>
  </si>
  <si>
    <t>Tolbutamide &gt; Glipizide &gt; Glyburide &gt; Chlorpropamide</t>
  </si>
  <si>
    <t>Glyburide &gt; Tolbutamide &gt; Glipizide &gt; Chlorpropamide</t>
  </si>
  <si>
    <t>Glipizide &gt; Glyburide &gt; Chlorpropamide &gt; Tolbutamide</t>
  </si>
  <si>
    <t>Dapagliflozin 10 mg OD</t>
  </si>
  <si>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</si>
  <si>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88 ชุด 1 (เฉลยข้อ ก)</t>
  </si>
  <si>
    <t>ข้อ ก และ ข ถูก</t>
  </si>
  <si>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</si>
  <si>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89 ชุด 1 (เฉลยข้อ ค)</t>
  </si>
  <si>
    <t>อาการแทรกซ้อนที่ต้องระวังในผู้ป่วยเบาหวานคืออะไร</t>
  </si>
  <si>
    <t>Ischemic stroke</t>
  </si>
  <si>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</si>
  <si>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90 ชุด 1 (เฉลยข้อ จ)</t>
  </si>
  <si>
    <t>ข้อใดไม่ใช่อาการหลักของผู้ป่วยเบาหวาน</t>
  </si>
  <si>
    <t>Polyuria</t>
  </si>
  <si>
    <t>Weight gain</t>
  </si>
  <si>
    <t>Fatigue</t>
  </si>
  <si>
    <t>Polydipsia</t>
  </si>
  <si>
    <t>Polyphagia</t>
  </si>
  <si>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</si>
  <si>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91 ชุด 1 (เฉลยข้อ ข)</t>
  </si>
  <si>
    <t>Lispro insulin จัดอยู่ในประเภทใด</t>
  </si>
  <si>
    <t>Rapid acting insulin</t>
  </si>
  <si>
    <t>Short acting insulin</t>
  </si>
  <si>
    <t>Intermediate acting insulin</t>
  </si>
  <si>
    <t>Long acting insulin</t>
  </si>
  <si>
    <t>Lente insulin</t>
  </si>
  <si>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</si>
  <si>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92 ชุด 1 (เฉลยข้อ ง)</t>
  </si>
  <si>
    <t>โครงสร้างนี้เป็นของยาตัวใด</t>
  </si>
  <si>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</si>
  <si>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93 ชุด 1 (เฉลยข้อ )</t>
  </si>
  <si>
    <t>อาการข้างเคียงที่ต้องเฝ้าระวังเป็นพิเศษ สำหรับยาในกลุ่ม Thiazolidinedione คือ</t>
  </si>
  <si>
    <t>ถูกต้องทุกข้อ</t>
  </si>
  <si>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</si>
  <si>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94 ชุด 1 (เฉลยข้อ ค)</t>
  </si>
  <si>
    <t>ข้อใดไม่ถูกต้องเกี่ยวกับรูปแบบการให้อินซูลินแบบผสมระหว่าง NPH/regular insulin</t>
  </si>
  <si>
    <t>สามารถให้ได้วันละ 2 ครั้ง ทำให้ผู้ป่วยไม่ต้องฉีดอินซูลินหลายครั้งต่อวัน</t>
  </si>
  <si>
    <t>เหมาะกับผู้ป่วยที่รับประทานอาหารไม่ตรงเวลาหรือทานข้าวไม่ค่อยได้</t>
  </si>
  <si>
    <t>แบ่งขนาดยาก่อนอาหารเช้าเป็น 2/3 ของขนาดยาที่ต้องการทั้งหมดในแต่ละวัน</t>
  </si>
  <si>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</si>
  <si>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</si>
  <si>
    <t>ข้อ 95 ชุด 1 (เฉลยข้อ ข)</t>
  </si>
  <si>
    <t>ข้อใดไม่ถูกต้องเกี่ยวกับวิธีการฉีดอินซูลิน</t>
  </si>
  <si>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</si>
  <si>
    <t>การฉีดให้เปลี่ยนจุดที่ฉีดไปเรื่อย ๆ ห่างจากจุดเดิมประมาณ 1-2 นิ้ว</t>
  </si>
  <si>
    <t>บริเวณที่ควรฉีดอินซูลินได้แก่หน้าท้อง ต้นแขน สะโพก และต้นขา</t>
  </si>
  <si>
    <t>หลังฉีดยาให้เช็ดเข็มด้วย alcohol และปิดฝาครอบเข็มให้สนิทด้วยความระมัดระวัง</t>
  </si>
  <si>
    <t>ไม่มีข้อใดไม่ถูกต้อง</t>
  </si>
  <si>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</si>
  <si>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96 ชุด 1 (เฉลยข้อ ง)</t>
  </si>
  <si>
    <t>ข้อใดไม่ถูกต้องเกี่ยวกับวิธีการเก็บรักษาอินซูลิน</t>
  </si>
  <si>
    <t>ขวดที่ยังไม่เปิดให้เก็บในตู้เย็น (2-8°C)</t>
  </si>
  <si>
    <t>ขวดที่เปิดแล้ว สามารถเก็บยาที่อุณหภูมิห้องได้ แต่ต้องใช้ให้หมดภายใน 1 เดือน</t>
  </si>
  <si>
    <t>ขวดที่ยังไม่เปิดและเก็บในตู้เย็นนั้น ยามีอายุตามฉลากข้างขวด</t>
  </si>
  <si>
    <t>หลังฉีดยาไม่ควรเก็บเข็มในตู้เย็นเพราะจะทำให้เข็มทื่อ</t>
  </si>
  <si>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</si>
  <si>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97 ชุด 1 (เฉลยข้อ ง)</t>
  </si>
  <si>
    <t>การปฏิบัติในข้อใด เหมาะสมกับการรักษาต่อไปในผู้ป่วยรายนี้</t>
  </si>
  <si>
    <t>เปลี่ยนยา propylthiouracil เป็น methimazole ในขนาดรับประทานที่สมมูลกัน</t>
  </si>
  <si>
    <t>แนะนำให้ผู้ป่วยรับประทานยา propylthiouracil ในขนาดดังกล่าวต่อไป</t>
  </si>
  <si>
    <t>หยุดยารับประทาน เปลี่ยนวิธีการรักษาเป็นการผ่าตัดต่อม</t>
  </si>
  <si>
    <t>หยุดยารับประทาน ให้การรักษาด้วยการทาน iodine</t>
  </si>
  <si>
    <t>เพิ่ม propranolol ให้รับประทานร่วมกับยา propylthiouracil</t>
  </si>
  <si>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</si>
  <si>
    <t>Hypo/Hyperthyroidism</t>
  </si>
  <si>
    <t>ข้อ 123 ชุด 1 (เฉลยข้อ ข)</t>
  </si>
  <si>
    <t>อาการไม่พึงประสงค์ที่เกิดขึ้นจากการใช้ thiouracil</t>
  </si>
  <si>
    <t>ปวดข้อ</t>
  </si>
  <si>
    <t>เม็ดเลือดขาวต่ำ</t>
  </si>
  <si>
    <t>ง่วงนอน</t>
  </si>
  <si>
    <t>SLE like syndrome</t>
  </si>
  <si>
    <t>Metallic taste</t>
  </si>
  <si>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</si>
  <si>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124 ชุด 1 (เฉลยข้อ ข)</t>
  </si>
  <si>
    <t>ข้อใดถูกต้องเกี่ยวกับยา propylthiouracil</t>
  </si>
  <si>
    <t>เป็นอนุพันธ์ของ thiourea</t>
  </si>
  <si>
    <t>ยับยั้งการหลั่งของ thyroid hormone</t>
  </si>
  <si>
    <t>ใช้รักษา hypothyroid</t>
  </si>
  <si>
    <t>กระตุ้นเอนไซม์ thyroid peroxidase</t>
  </si>
  <si>
    <t>เพิ่มการสร้าง T3</t>
  </si>
  <si>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</si>
  <si>
    <t>ข้อ 125 ชุด 1 (เฉลยข้อ ก)</t>
  </si>
  <si>
    <t>Lugol's solution ประกอบด้วยสารชนิดใดเป็นส่วนประกอบ</t>
  </si>
  <si>
    <t>Iodine + KI</t>
  </si>
  <si>
    <t>Manganese</t>
  </si>
  <si>
    <t>Methimazole</t>
  </si>
  <si>
    <t>Thiocyanate</t>
  </si>
  <si>
    <t>Propylthiouracil</t>
  </si>
  <si>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</si>
  <si>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126 ชุด 1 (เฉลยข้อ ก)</t>
  </si>
  <si>
    <t>ข้อใดถูกต้องเกี่ยวกับการใช้ยา propranolol ร่วมกับ propylthiouracil</t>
  </si>
  <si>
    <t>Propranolol เป็น alpha-adrenergic blocking agent ชนิดหนึ่ง</t>
  </si>
  <si>
    <t>Propranolol ช่วยลดอาการต่าง ๆ เช่น tremor และ tachycardia ที่เกิดจาก thyrotoxicosis</t>
  </si>
  <si>
    <t>Propranolol มีความสำคัญต่อ pharmacokinetic ของ propylthiouracil ทำให้การดูดซึมและฤทธิ์ของยา propylthiouracil ดีขึ้น</t>
  </si>
  <si>
    <t>Propranolol ช่วยลดอาการข้างเคียงจากการใช้ยา propylthiouracil</t>
  </si>
  <si>
    <t>Propranolol ออกฤทธิ์เสริมกับ propylthiouracil โดยลดการสังเคราะห์ T4</t>
  </si>
  <si>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</si>
  <si>
    <t>ข้อ 127 ชุด 1 (เฉลยข้อ ข)</t>
  </si>
  <si>
    <t>ข้อใดผิดเกี่ยวกับ goiter</t>
  </si>
  <si>
    <t>Iodine บางชนิด เช่น thiocyanate อาจมีผลทำให้เกิด goiter</t>
  </si>
  <si>
    <t>Thiocyanate อาจได้จากการ metabolize สารจากผัก เช่น กะหล่ำปลี</t>
  </si>
  <si>
    <t>Lithium สามารถลด secretion ของ thyroxine และสามารถช่วยในการรักษา hyperthyroidism</t>
  </si>
  <si>
    <t>Goitrin สามารถยับยั้ง thyroid peroxidase</t>
  </si>
  <si>
    <t>Perchlorate เป็น ion ที่ช่วยเพิ่มการ uptake iodide และเพิ่มระดับ iodide ใน thyroid</t>
  </si>
  <si>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</si>
  <si>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128 ชุด 1 (เฉลยข้อ จ)</t>
  </si>
  <si>
    <t>ชุมชนที่มีคนเป็น toxic goiter มากบ่งบอกว่าชุมชนนั้นมีลักษณะอย่างไร</t>
  </si>
  <si>
    <t>ได้รับ iodine ต่ำเกินไป</t>
  </si>
  <si>
    <t>ได้รับ iodine มากเกินไป</t>
  </si>
  <si>
    <t>แหล่งน้ำดื่มมีการปนเปื้อนของสารหนู</t>
  </si>
  <si>
    <t>แหล่งน้ำดื่มมีการปนเปื้อนของสารตะกั่ว</t>
  </si>
  <si>
    <t>กินอาหารที่มี thiocyanide มากเกินไป</t>
  </si>
  <si>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</si>
  <si>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129 ชุด 1 (เฉลยข้อ ข)</t>
  </si>
  <si>
    <t>เป้าหมาย HbA1c ของผู้ป่วยรายนี้เป็นเท่าไหร่</t>
  </si>
  <si>
    <t>&lt; 5.5%</t>
  </si>
  <si>
    <t>&lt; 6%</t>
  </si>
  <si>
    <t>&lt; 7%</t>
  </si>
  <si>
    <t>&lt; 8%</t>
  </si>
  <si>
    <t>&lt; 8.5%"</t>
  </si>
  <si>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</si>
  <si>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26</t>
  </si>
  <si>
    <t>ผลทางห้องจากปฏิบัติการ A1C ของผู้ป่วยวันนี้มีค่าเท่ากับ 9% ตามแนวทาง ADA 2024 guideline
ยาลดระดับน ้าตาลในเลือดต่อไปที่ควรได้รับเพิ่ม</t>
  </si>
  <si>
    <t>Empagliflozin</t>
  </si>
  <si>
    <t>Semaglutide SC</t>
  </si>
  <si>
    <t>insulin SC</t>
  </si>
  <si>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</si>
  <si>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27</t>
  </si>
  <si>
    <t>หากแพทย์ต้องการเริ่ม insulin แก่ผู้ป่วยรายนี้ ผู้ป่วยควรได้รับ insulin ชนิดใดถึงจะเหมาะสมที่สุด ตาม ADA
2024 guideline</t>
  </si>
  <si>
    <t>Lispro insulin SC</t>
  </si>
  <si>
    <t>Lispro insulin SC + insulin glargine SC</t>
  </si>
  <si>
    <t>RI insulin SC</t>
  </si>
  <si>
    <t>RI insulin SC + NPH insulin SC</t>
  </si>
  <si>
    <t>Insulin glargine SC</t>
  </si>
  <si>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</si>
  <si>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28</t>
  </si>
  <si>
    <t>ยาในข้อใดไม่มีในการเพิ่มการหลั่ง insulin</t>
  </si>
  <si>
    <t>Repaglinide</t>
  </si>
  <si>
    <t>Saxagliptin</t>
  </si>
  <si>
    <t>Liraglutide</t>
  </si>
  <si>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</si>
  <si>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Mock PLE-CC 1 ข้อ 29</t>
  </si>
  <si>
    <t>กลไกการออกฤทธิ์หลักของยา semaglutide คือข้อใด</t>
  </si>
  <si>
    <t>กระตุ้น PPAR-γ receptor</t>
  </si>
  <si>
    <t>กระตุ้น GLP-1 receptor</t>
  </si>
  <si>
    <t>ยับยั้งการดูดกลับกลูโคสที่หน่วยไต</t>
  </si>
  <si>
    <t>กระตุ้น sulfonylurea receptor type 1</t>
  </si>
  <si>
    <t>ยับยั้งเอนไซม์ α-glucosidase</t>
  </si>
  <si>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</si>
  <si>
    <t>Mock PLE-CC 1 ข้อ 30</t>
  </si>
  <si>
    <t>การเติม Zinc chloride หรือ Zinc acetate ในสูตรตำรับ NPH insulin มีส่วนช่วยอะไรในสูตรตำรับ</t>
  </si>
  <si>
    <t>เสริมฤทธิ์การกันเสีย (preservative) ร่วมกับ phenol</t>
  </si>
  <si>
    <t>ป้องกันการตกตะกอนของ insulin</t>
  </si>
  <si>
    <t>ทำให้เกิดสารประกอบเชิงซ้อนกับ insulin ส่งผลต่อการออกฤทธิ์</t>
  </si>
  <si>
    <t>ป้องกันการดูดซับของ insulin บนพื้นผิวภาชนะแก้ว type 1</t>
  </si>
  <si>
    <t>เพื่อเพิ่มความคงตัวของ pH ในการผลิตและเก็บรักษา</t>
  </si>
  <si>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</si>
  <si>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31</t>
  </si>
  <si>
    <t>ข้อใดคือแนวทางแก้ปัญหาที่มักพบในการผลิตยา insulin injection แล้วมีฟอง และการรวมกลุ่ม (aggregation)</t>
  </si>
  <si>
    <t>ลดอุณหภูมิระหว่างการผลิตต ่ากว่า 0</t>
  </si>
  <si>
    <t>เพิ่มสารลดแรงตึงผิว non-ionic เช่น polysorbate 20</t>
  </si>
  <si>
    <t>เติม zinc รูป zinc chloride</t>
  </si>
  <si>
    <t>ใช้ nitrogen purging ไล่ออกซิเจน</t>
  </si>
  <si>
    <t>เปลี่ยนสูตรต ารับเป็น acetate buffer แทน phosphate buffer"</t>
  </si>
  <si>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</si>
  <si>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33</t>
  </si>
  <si>
    <t>การผลิต insulin ในระดับอุตสาหกรรม ข้อใดมีความเป็นไปได้มากที่สุด</t>
  </si>
  <si>
    <t>สกัดโดยตรงจากสุกรหรือวัว แล้วเอามาสังเคราะห์ต่อ จนได้ insulin</t>
  </si>
  <si>
    <t>ใช้ E. coli หรือ Saccharomyces cerevisiae สังเคราะห์ แล้วใช้ C-$Peptidase ตัดให้เป็น insulin</t>
  </si>
  <si>
    <t>SPPS แล้วพับใน bioreactor</t>
  </si>
  <si>
    <t>hybridoma technology ผลิตเป็น Immuno monoclonal antibody</t>
  </si>
  <si>
    <t>ใช้ stem cell ของ human beta cell ในตับอ่อน แล้วสกัด insulin ออกมาท า formulation ต่อ"</t>
  </si>
  <si>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</si>
  <si>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36</t>
  </si>
  <si>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</si>
  <si>
    <t>Levothyroxine 50 mcg OD</t>
  </si>
  <si>
    <t>Propylthiouracil 50 mg TID</t>
  </si>
  <si>
    <t>Methimazole 10 mg OD</t>
  </si>
  <si>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</si>
  <si>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37</t>
  </si>
  <si>
    <t>พืชผัก ในข้อใด มีผลลดระดับน ้าตาลในเลือด</t>
  </si>
  <si>
    <t>ยอดฝักแม้ว</t>
  </si>
  <si>
    <t>ใบกะหล ่าปลี</t>
  </si>
  <si>
    <t>ผลบวบงู</t>
  </si>
  <si>
    <t>ผลมะระขี้นก</t>
  </si>
  <si>
    <t>ช่อดอกบล็อคโคลี</t>
  </si>
  <si>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</si>
  <si>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39</t>
  </si>
  <si>
    <t>ในการพัฒนาสูตรตำรับยาพ่นจมูกในรูปแบบสารละลาย (Non-pressurized Multiple Use …)
ไม่จำเป็นต้องทำการทดสอบใด</t>
  </si>
  <si>
    <t>Uniformity of dosage unit/delivered dose uniformity</t>
  </si>
  <si>
    <t>Droplet size distribution</t>
  </si>
  <si>
    <t>Actuator deposition</t>
  </si>
  <si>
    <t>Shake requirement</t>
  </si>
  <si>
    <t>Extractable/Leachable</t>
  </si>
  <si>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</si>
  <si>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46</t>
  </si>
  <si>
    <t>ข้อใดไม่ใช่ปัจจัยที่มาพิจารณาการตั้งตำรับผลิตภัณฑ์ยาพ่นจมูกรูปแบบสารละลาย</t>
  </si>
  <si>
    <t>Solvent</t>
  </si>
  <si>
    <t>Viscosity</t>
  </si>
  <si>
    <t>Osmolarity</t>
  </si>
  <si>
    <t>pH</t>
  </si>
  <si>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</si>
  <si>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47</t>
  </si>
  <si>
    <t>หัวข้อใดไม่จำเป็นต้องกำหนดในการควบคุมคุณภาพของผลิตภัณฑ์ยาพ่นจมูกรูปแบบสารละลาย</t>
  </si>
  <si>
    <t>Moisture content</t>
  </si>
  <si>
    <t>Microbial limit</t>
  </si>
  <si>
    <t>Mean delivered dose</t>
  </si>
  <si>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</si>
  <si>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48</t>
  </si>
  <si>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</si>
  <si>
    <t>A และ B</t>
  </si>
  <si>
    <t>ไม่ใช้ทั้ง A และ B</t>
  </si>
  <si>
    <t>ตัดสินไม่ได้</t>
  </si>
  <si>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</si>
  <si>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49</t>
  </si>
  <si>
    <t>ข้อใดถูกต้องเกี่ยวกับ immune-related adverse events (irAEs)</t>
  </si>
  <si>
    <t>ลำดับการเกิดคือ colitis &gt; endocrinepathy &gt; skin &gt; liver toxicity</t>
  </si>
  <si>
    <t>Endocrine toxicity คือการเกิด hypothyroidism รักษาด้วย steroid</t>
  </si>
  <si>
    <t>สามารถเกิดได้กับหลายอวัยวะ และเกิดได้แม้หยุดยาไปแล้ว</t>
  </si>
  <si>
    <t>ไม่จำเป็นต้องหยุดยา และสามารถหายได้เอง</t>
  </si>
  <si>
    <t>Skin จะเกิดเฉพาะกับผู้ป่วยที่มี EGFR mutation positive เท่านั้น</t>
  </si>
  <si>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</si>
  <si>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68</t>
  </si>
  <si>
    <t>ใช้ propranolol ในการป้องกันไมเกรน ควรระวังในผู้ป่วยที่มีโรคร่วมใดมากที่สุด</t>
  </si>
  <si>
    <t>หืด</t>
  </si>
  <si>
    <t>ซึมเศร้า</t>
  </si>
  <si>
    <t>กรดไหลย้อน</t>
  </si>
  <si>
    <t>ไตเรื้อรัง</t>
  </si>
  <si>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</si>
  <si>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Mock PLE-CC 1 ข้อ 111</t>
  </si>
  <si>
    <t>ผู้ป่วยได้รับการวินิจฉัย secondary hyperthyroidism to Graves' disease ข้อใดคือคำแนะนำจาก 2018 European Thyroid Association Guideline for the management of Graves’ hyperthyroidism สำหรับผู้ป่วยรายนี้</t>
  </si>
  <si>
    <t>ให้กินยาจนครบคอร์ส 6-8 เดือน ห้ามหยุดยาเอง ก่อนปรึกษาแพทย์</t>
  </si>
  <si>
    <t>ยาอาจทำให้ง่วงซึม หลีกเลี่ยงการขับขี่ยานพาหนะหรือทำงานเครื่องจักร</t>
  </si>
  <si>
    <t>หลีกเลี่ยงการออกแดดหรือให้ทาครีมกันแดด เมื่อจำเป็น</t>
  </si>
  <si>
    <t>หากมีอาการ ไข้ เจ็บคอ มีแผลในปาก ควรหยุดยาแล้วมาพบแพทย์ทันที</t>
  </si>
  <si>
    <t>หากมีผื่นขึ้นแม้เพียงเล็กน้อย ให้หยุดยาทันที</t>
  </si>
  <si>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</si>
  <si>
    <t>PLE_CC1_2567_Key ข้อ 43</t>
  </si>
  <si>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</si>
  <si>
    <t>Metformin + dapagliflozin</t>
  </si>
  <si>
    <t>Glipizide + insulin</t>
  </si>
  <si>
    <t>Linagliptin</t>
  </si>
  <si>
    <t>Metformin + sitagliptin</t>
  </si>
  <si>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</si>
  <si>
    <t>PLE_CC1_2567_Key ข้อ 49</t>
  </si>
  <si>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</si>
  <si>
    <t>TSH สูง, FT3 ปกติ, FT4 ปกติ</t>
  </si>
  <si>
    <t>TSH ปกติ, FT3 สูง, FT4 สูง</t>
  </si>
  <si>
    <t>TSH ต่ำ, FT3 สูง, FT4 สูง</t>
  </si>
  <si>
    <t>TSH ต่ำ, FT3 ต่ำ, FT4 ต่ำ</t>
  </si>
  <si>
    <t>TSH สูง, FT3 สูง, FT4 สูง</t>
  </si>
  <si>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</si>
  <si>
    <t>PLE_CC1_2567_Key ข้อ 67</t>
  </si>
  <si>
    <t>ข้อใดต่อไปนี้เป็นอาการแสดงที่พบได้ในภาวะต่อมไทรอยด์ทำงานเกิน (Hyperthyroidism)?</t>
  </si>
  <si>
    <t>หงุดหงิดง่าย</t>
  </si>
  <si>
    <t>ผมร่วง</t>
  </si>
  <si>
    <t>ผิวแห้ง</t>
  </si>
  <si>
    <t>หัวใจเต้นช้า</t>
  </si>
  <si>
    <t>ท้องผูก</t>
  </si>
  <si>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</si>
  <si>
    <t>PLE_CC1_2567_Key ข้อ 68</t>
  </si>
  <si>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</si>
  <si>
    <t>จ่ายยาเพิ่มอีก 1 ตัว</t>
  </si>
  <si>
    <t>มียาที่ไม่เหมาะสม (Inappropriate drug)</t>
  </si>
  <si>
    <t>มียาที่ความถี่ในการบริหารไม่เหมาะสม</t>
  </si>
  <si>
    <t>มียาที่ไม่มีข้อบ่งใช้</t>
  </si>
  <si>
    <t>เกิดปฏิกิริยาระหว่างยาที่รุนแรง</t>
  </si>
  <si>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</si>
  <si>
    <t>PLE_CC1_2567_Key ข้อ 69</t>
  </si>
  <si>
    <t>โรคอ้วน, การดื่มแอลกอฮอล์, Metformin</t>
  </si>
  <si>
    <t>Liraglutide 1.2 mg SC OD</t>
  </si>
  <si>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</si>
  <si>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PLE-CC1 ปี 2566 Day 1 ข้อ 1</t>
  </si>
  <si>
    <t>การใช้Metformin</t>
  </si>
  <si>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</si>
  <si>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Premixed insulin 70/30 ประกอบด้วยอะไรบ้าง. กับระยะเวลาการออกฤทธิ์ ตัวเลือก</t>
  </si>
  <si>
    <t>Insulin glargine 10 units SC HS</t>
  </si>
  <si>
    <t>Insulin lispro 4 units SC before meals</t>
  </si>
  <si>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</si>
  <si>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PLE-CC1 ปี 2566 Day 2 ข้อ 5</t>
  </si>
  <si>
    <t>NPH 70% และRegular insulin 30% ชนิดออกฤทธิ์แบบปานกลางและเร็วตามลำดับ</t>
  </si>
  <si>
    <t>NPH 30% และRegular insulin 70% ชนิดออกฤทธิ์ปานกลางและเร็วตามลำดับ</t>
  </si>
  <si>
    <t>Semaglutide 0.5 mg SC weekly</t>
  </si>
  <si>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</si>
  <si>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PLE-CC1 ปี 2566 Day 2 ข้อ 1</t>
  </si>
  <si>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</si>
  <si>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</si>
  <si>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PLE-CC1 ปี 2566 Day 2 ข้อ 95</t>
  </si>
  <si>
    <t>นักวิจัยจะเปรียบเทียบยาโดยดูคุณภาพชีวิต ระหว;างใชยาเบาหวาน 3 ตัวเปรียบเทียบกับ insulin ขอใด เปMน Economic evaluation ในสถานการณçนี้</t>
  </si>
  <si>
    <t>CUA</t>
  </si>
  <si>
    <t>CEA</t>
  </si>
  <si>
    <t>CMA</t>
  </si>
  <si>
    <t>CBA</t>
  </si>
  <si>
    <t>ผลลัพธ์ที่วัดไม่ได้อยู่ในรูปของตัวเงิน (Non-monetary outcome) จึงไม่สามารถทำ CBA ได้</t>
  </si>
  <si>
    <t>✅ คำตอบที่ถูกต้อง: ข้อ ก. CUA (Cost-Utility Analysis)
💡 Background:
การประเมินทางเศรษฐศาสตร์สาธารณสุข (Health Economic Evaluation) มี 4 ประเภทหลัก ได้แก่ CMA (Cost-Minimization), CEA (Cost-Effectiveness), CUA (Cost-Utility) และ CBA (Cost-Benefit) การเลือกใช้ขึ้นอยู่กับตัวชี้วัดผลลัพธ์ที่ใช้เปรียบเทียบ
🎯 ทำไมข้อนี้ถึงถูก:
โจทย์ระบุว่าผลลัพธ์ที่วัดคือ 'คุณภาพชีวิต' ซึ่งสอดคล้องกับ CUA ที่ใช้ QALY (Quality-Adjusted Life Year) เป็นหน่วยวัดผลลัพธ์ CUA เหมาะสำหรับการเปรียบเทียบยาหรือมาตรการที่ส่งผลต่อคุณภาพชีวิตแตกต่างกัน
🔍 ข้ออื่นผิดเพราะอะไร:
• ข้อ ข. (CEA): ใช้เมื่อผลลัพธ์เป็นหน่วยทางคลินิก เช่น mmHg ลด, HbA1c ลด, ปีที่รอดชีวิต — ไม่ใช่คุณภาพชีวิต
• ข้อ ค. (CMA): ใช้เมื่อสมมติว่า clinical outcomes เท่ากัน แล้วเปรียบเทียบเฉพาะต้นทุน
• ข้อ ง. (CBA): แปลงผลลัพธ์ทุกอย่างเป็นเงินตรา (Monetary unit) ซึ่งยากในทางปฏิบัติและใช้น้อยกว่า
📖 Guideline อ้างอิง:
[NEED_REVIEW]
📌 จุดจำก่อนสอบ:
คุณภาพชีวิต (QoL) / QALY = CUA; Clinical unit (HbA1c, BP) = CEA; ต้นทุนอย่างเดียว (outcomes เท่ากัน) = CMA</t>
  </si>
  <si>
    <t>PLE_CC1_2565_Day1_Key ข้อ 20</t>
  </si>
  <si>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</si>
  <si>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</si>
  <si>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PLE_CC1_2565_Day1_Key ข้อ 57</t>
  </si>
  <si>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</si>
  <si>
    <t>Cumulative incidence ratio = 60/200 ÷ 600/4000 = 2.0</t>
  </si>
  <si>
    <t>Incidence Rate Ratio (IRR) = 0.03/0.015 = 2.0 per person-year</t>
  </si>
  <si>
    <t>Attributable risk = 0.03 - 0.015 = 0.015 per person-year</t>
  </si>
  <si>
    <t>Prevalence ratio ไม่สามารถคำนวณได้จากข้อมูลที่ให้มา</t>
  </si>
  <si>
    <t>✅ คำตอบที่ถูกต้อง: [NEED_REVIEW — choices ข.-จ. สูญหาย, เฉลยไม่ตรงกับโจทย์ Biostatistics]
💡 Background:
โจทย์ถามเกี่ยวกับการศึกษาแบบ Cohort ติดตามผู้หญิงเบาหวาน 200 คน (2000 person-year) และไม่เบาหวาน 4000 คน (40000 person-year) พบการเสียชีวิต 60 และ 600 รายตามลำดับ ถามหาค่าสถิติเปรียบเทียบ
🎯 ทำไมข้อนี้ถึงถูก:
Incidence Rate ของกลุ่มเบาหวาน = 60/2000 = 0.03/person-year; ไม่เบาหวาน = 600/40000 = 0.015/person-year Incidence Rate Ratio (IRR) = 0.03/0.015 = 2.0 (ผู้ป่วยเบาหวานมีอัตราตายเป็น 2 เท่าของกลุ่มไม่เบาหวาน) ตัวเลือกที่ถูกต้องน่าจะเกี่ยวกับ IRR = 2 หรือ Incidence rate ที่คำนวณได้ [NEED_REVIEW]
📖 Guideline อ้างอิง:
[NEED_REVIEW]
📌 จุดจำก่อนสอบ:
Cohort study ใช้ Incidence Rate Ratio (IRR) = (cases/person-time exposed) / (cases/person-time unexposed)</t>
  </si>
  <si>
    <t>PLE_CC1_2565_Day1_Key ข้อ 86</t>
  </si>
  <si>
    <t>Hypothyroidism/Hyperthyroidism</t>
  </si>
  <si>
    <t>✅ คำตอบที่ถูกต้อง: [NEED_REVIEW — โจทย์และตัวเลือกไม่สอดคล้องกัน (โจทย์ถาม Hypo/Hyperthyroid แต่ตัวเลือกเป็นยาเบาหวาน)]
💡 Background:
ข้อสอบนี้มีความไม่สอดคล้องกันระหว่างโจทย์และตัวเลือก โจทย์ระบุหัวข้อ Hypothyroidism/Hyperthyroidism แต่ตัวเลือกทั้งหมดเป็นยารักษาเบาหวาน (Semaglutide, Metformin, Glipizide, Empagliflozin) ไม่สามารถระบุเฉลยที่ถูกต้องได้จากข้อมูลที่มี
🎯 ทำไมข้อนี้ถึงถูก:
[NEED_REVIEW — ต้องตรวจสอบและแก้ไขโจทย์/ตัวเลือกจากต้นฉบับ]
📖 Guideline อ้างอิง:
[NEED_REVIEW]
📌 จุดจำก่อนสอบ:
ข้อนี้ต้องได้รับการทบทวนจากคณะกรรมการก่อนนำไปใช้</t>
  </si>
  <si>
    <t>ผู$ป&amp;วยรายนี้ควรได$ยาอะไร กรVWXวยไDเZน โรคเบาหวานและโรคไตเ[อ\ง</t>
  </si>
  <si>
    <t>Simvastatin 40 mg</t>
  </si>
  <si>
    <t>Simvastatin 80 mg</t>
  </si>
  <si>
    <t>Rosuvastatin 20 mg</t>
  </si>
  <si>
    <t>Atorvastatin 40 mg</t>
  </si>
  <si>
    <t>Pravastatin 40 mg</t>
  </si>
  <si>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</si>
  <si>
    <t>PLE_CC1_2565_Day2_Key ข้อ 2</t>
  </si>
  <si>
    <t>หากแพทย6ต$องการเพิ่ม insulin อีกตัว ควรให$อินซูลินแบบใด 2,000 mg/day (High dose)</t>
  </si>
  <si>
    <t>Lispro</t>
  </si>
  <si>
    <t>Glulisine</t>
  </si>
  <si>
    <t>Glargine</t>
  </si>
  <si>
    <t>Aspart</t>
  </si>
  <si>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</si>
  <si>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PLE_CC1_2565_Day2_Key ข้อ 17</t>
  </si>
  <si>
    <t>ผู้ป่วย KDIGO stage 3a ได้ metformin 850 mg/day, Glipizide และยาอื่น ๆ มากมาย ยังคุมระดับน้ำตาลไม่ได้ ควรจัดการยังไงจึงจะเหมาะสมที่สุด</t>
  </si>
  <si>
    <t>เพิ่ม Glipizide</t>
  </si>
  <si>
    <t>หยุด Metformin</t>
  </si>
  <si>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</si>
  <si>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PLE_CC1_2564_All_Key ข้อ 112</t>
  </si>
  <si>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</si>
  <si>
    <t>Trigger tool</t>
  </si>
  <si>
    <t>Medication reconciliation</t>
  </si>
  <si>
    <t>DUE</t>
  </si>
  <si>
    <t>ADR management</t>
  </si>
  <si>
    <t>Risk management</t>
  </si>
  <si>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</si>
  <si>
    <t>ข้อ 66 (PLE_CC1_2562_Key.md)</t>
  </si>
  <si>
    <t>ข้อใดคือข้อห้ามใช้ของยา hydroxychloroquine DMARDS EnesLe, vanisesfas X Isimavied donor le -OGulasise G</t>
  </si>
  <si>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</si>
  <si>
    <t>ข้อ 112 (PLE_CC1_2562_Key.md)</t>
  </si>
  <si>
    <t>Insulin glargine สามารถให้ในตอนเช้าได้หรือไม่</t>
  </si>
  <si>
    <t>ไม่ได้ เพราะจะท้าให้เกิดภาวะ hypoglycemia ขึ น</t>
  </si>
  <si>
    <t>ได้ เพราะออกฤทธิ์ 24 ชั่วโมง</t>
  </si>
  <si>
    <t>ได้ เพราะลด HbA1C ได้ดีกว่ายาตัวอื่น ๆ</t>
  </si>
  <si>
    <t>ไม่ได้ เพราะลดการสร้างกลูโคสจากตับ</t>
  </si>
  <si>
    <t>ไม่ได้ เพราะอาจจะเกิดอันตรกิริยากับ metformin และ glibenclamide ที่รับประทานในตอนเช้าได้</t>
  </si>
  <si>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</si>
  <si>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18 (PLE_CC1_2559.md)</t>
  </si>
  <si>
    <t>ข้อใดคือ preservative ของ Insulin glargine</t>
  </si>
  <si>
    <t>Meta-cresol</t>
  </si>
  <si>
    <t>Phenol</t>
  </si>
  <si>
    <t>Chlorobutanol</t>
  </si>
  <si>
    <t>ก และ ข ถูก</t>
  </si>
  <si>
    <t>ก และ ค ถูก</t>
  </si>
  <si>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</si>
  <si>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23 (PLE_CC1_2559.md)</t>
  </si>
  <si>
    <t>Insulin glargine ผลิตมาจากอะไร</t>
  </si>
  <si>
    <t>ตับอ่อนของวัว</t>
  </si>
  <si>
    <t>ตับอ่อนของหมู</t>
  </si>
  <si>
    <t>ตับอ่อนของคน</t>
  </si>
  <si>
    <t>Recombinant DNA</t>
  </si>
  <si>
    <t>Recombinant DNA E.coli เป็น complex partial seizure</t>
  </si>
  <si>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</si>
  <si>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25 (PLE_CC1_2559.md)</t>
  </si>
  <si>
    <t>ผู้ป่วยหญิงน้ำหนัก 85 kg สูง 160 cm FBS 165 mg/dl, HbA1C 8.0 Scr 1 ควรได้รับการรักษาอย่างไร</t>
  </si>
  <si>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</si>
  <si>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70 (PLE_CC1_2558_Key.md)</t>
  </si>
  <si>
    <t>น้ำที่ใช้ในการผลิต insulin คือ</t>
  </si>
  <si>
    <t>Deionized water</t>
  </si>
  <si>
    <t>Distilled water</t>
  </si>
  <si>
    <t>Water for injection</t>
  </si>
  <si>
    <t>Sterile water for injection</t>
  </si>
  <si>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</si>
  <si>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75 (PLE_CC1_2558_Key.md)</t>
  </si>
  <si>
    <t>ยาเบาหวานที่ได้รับออกฤทธิ์อย่างไร</t>
  </si>
  <si>
    <t>ช่วยลด insulin resistance</t>
  </si>
  <si>
    <t>กระตุ้นการทำงานของ receptor</t>
  </si>
  <si>
    <t>ยับยั้ง DPP-IV</t>
  </si>
  <si>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</si>
  <si>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83 (PLE_CC1_2558_Key.md)</t>
  </si>
  <si>
    <t>Insulin ในประเทศไทย ใช้กระบวนการไรผลิต</t>
  </si>
  <si>
    <t>สกัดจากตับอ่อนหมู</t>
  </si>
  <si>
    <t>จากการเพาะเลี้ยงเซลล์ตับอ่อนคน</t>
  </si>
  <si>
    <t>recombinant technology</t>
  </si>
  <si>
    <t>ก และ ข</t>
  </si>
  <si>
    <t>ก และ ค</t>
  </si>
  <si>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</si>
  <si>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84 (PLE_CC1_2558_Key.md)</t>
  </si>
  <si>
    <t>ข้อใดถูกต้องเกี่ยวกับ insulin</t>
  </si>
  <si>
    <t>ออกฤทธิ์คล้าย GLP-1 analogue</t>
  </si>
  <si>
    <t>เพิ่ม insulin receptor</t>
  </si>
  <si>
    <t>ใช้สำลีชุบ alcohol เช็ดที่ปลายเข็มก่อนฉีด</t>
  </si>
  <si>
    <t>ควรฉีดซ้ำที่เดิม เพื่อให้ยาออกฤทธิ์ได้เท่าเดิม</t>
  </si>
  <si>
    <t>หลังจากเปิดใช้แล้วเก็บได้นาน 2 เดือน</t>
  </si>
  <si>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</si>
  <si>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85 (PLE_CC1_2558_Key.md)</t>
  </si>
  <si>
    <t>ข้อใดไม่ใช่อาการของผู้ป่วยเบาหวาน</t>
  </si>
  <si>
    <t>หิวบ่อย/กินเยอะ</t>
  </si>
  <si>
    <t>อาการร้อนวูบวาบ</t>
  </si>
  <si>
    <t>ดื่มน้ำบ่อย/กระหายน้ำบ่อย</t>
  </si>
  <si>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</si>
  <si>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74 (Pharmtutor_2024_Set1.md)</t>
  </si>
  <si>
    <t>ข้อใดคือเป้าหมายของการรักษาผู้ป่วยเบาหวาน</t>
  </si>
  <si>
    <t>HbA1C &lt; 6.5%</t>
  </si>
  <si>
    <t>HbA1C &lt; 7%</t>
  </si>
  <si>
    <t>HbA1C &lt; 7.5%</t>
  </si>
  <si>
    <t>Preprandial glucose &lt; 80 mg/dL</t>
  </si>
  <si>
    <t>Peak postprandial glucose &lt; 200 mg/dL</t>
  </si>
  <si>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</si>
  <si>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75 (Pharmtutor_2024_Set1.md)</t>
  </si>
  <si>
    <t>การดัดแปลง insulin ในข้อใดทำให้ออกฤทธิ์ได้เร็วขึ้น</t>
  </si>
  <si>
    <t>เติม protamine</t>
  </si>
  <si>
    <t>เติม arginine 2 หมู่</t>
  </si>
  <si>
    <t>เติม zinc chloride</t>
  </si>
  <si>
    <t>เติม myristic acid</t>
  </si>
  <si>
    <t>สลับ amino acid ระหว่าง Lysine และ Proline</t>
  </si>
  <si>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</si>
  <si>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78 (Pharmtutor_2024_Set1.md)</t>
  </si>
  <si>
    <t>ยารักษาเบาหวาน ที่ควรเริ่มเป็นอันดับแรก ในผู้ป่วยรายนี้ คือข้อใด</t>
  </si>
  <si>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</si>
  <si>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70 (Pharmtutor_2024_Set2.md)</t>
  </si>
  <si>
    <t>เป้าหมายการรักษาเบาหวาน (ควบคุมทั่วไป) ในผู้ป่วยรายนี้</t>
  </si>
  <si>
    <t>FBS &lt; 70 mg/dL</t>
  </si>
  <si>
    <t>HbA1C &lt;8%</t>
  </si>
  <si>
    <t>Peak Post prandial glucose &lt; 180 mg/dL</t>
  </si>
  <si>
    <t>OGTT &lt; 126 mg/dL</t>
  </si>
  <si>
    <t>Random plasma glucose &lt; 250 mg/dL</t>
  </si>
  <si>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</si>
  <si>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71 (Pharmtutor_2024_Set2.md)</t>
  </si>
  <si>
    <t>การปรับปรุงโปรงสร้างของ insulin ในข้อใด ทำให้สามารถออกฤทธิ์ได้ยาวนานมากขึ้น</t>
  </si>
  <si>
    <t>เพิ่มการละลายของ insulin</t>
  </si>
  <si>
    <t>ลดความสามารถในการก่อ hexamer ของ insulin</t>
  </si>
  <si>
    <t>การเติมกรดไขมัน เช่น myristic acid</t>
  </si>
  <si>
    <t>สลับกรดอะมิโน ระหว่าง lysine และ proline</t>
  </si>
  <si>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</si>
  <si>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72 (Pharmtutor_2024_Set2.md)</t>
  </si>
  <si>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</si>
  <si>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</si>
  <si>
    <t>ข้อ 10 (PLE_CC1_2557.md)</t>
  </si>
  <si>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</si>
  <si>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</si>
  <si>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16 (PLE_CC1_2557.md)</t>
  </si>
  <si>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</si>
  <si>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</si>
  <si>
    <t>ข้อ 33 (PLE_CC1_2557.md)</t>
  </si>
  <si>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</si>
  <si>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</si>
  <si>
    <t>ข้อ 36 (PLE_CC1_2557.md)</t>
  </si>
  <si>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</si>
  <si>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</si>
  <si>
    <t>ข้อ 37 (PLE_CC1_2557.md)</t>
  </si>
  <si>
    <t>Insulin อีก 2 เดือนต่อมา ผู้ป่วยมาพบแพทย์ตามนัด ผลตรวจร่างกายเป็นดังนี้ FBS 123, HbA1C 6.8, BP 150/98, urine analysis : protein 1.5 g/ 24 h</t>
  </si>
  <si>
    <t>จากข้อมูลข้างต้น ควรรักษาอย่างไร</t>
  </si>
  <si>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</si>
  <si>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5 (PLE_CC1_2556.md)</t>
  </si>
  <si>
    <t>โจทย์ให้ค่าแลปมา FBS สูง HbA1C สูง ALT 200 กว่า, AST 200 กว่า, BUN 17, Cr 0.8 จากข้อมูลดังกล่าวยาตัวใดปลอดภัยที่สุด</t>
  </si>
  <si>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</si>
  <si>
    <t>ข้อ 6 (PLE_CC1_2556.md)</t>
  </si>
  <si>
    <t>ข้อใดไม่ถูกต้องเกี่ยวกับ NPH insulin</t>
  </si>
  <si>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</si>
  <si>
    <t>ข้อ 9 (PLE_CC1_2556.md)</t>
  </si>
  <si>
    <t>เป็น intermediate acting insulin</t>
  </si>
  <si>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</si>
  <si>
    <t>ข้อ 2 (PLE_CC1_2556.md)</t>
  </si>
  <si>
    <t>insulin resistant</t>
  </si>
  <si>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</si>
  <si>
    <t>อาการของไทรอยด์เป็นพิษ</t>
  </si>
  <si>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</si>
  <si>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</si>
  <si>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ยาที่ใช้รักษา Hyperthyroidism คือยาใด</t>
  </si>
  <si>
    <t>Propylthiouracil (PTU), Methimazole (MTZ or MMI), Carbimazole(CBZ) เพราะยาดังกล่าวเป็นยาAntithyroid drugs Ref: ชีทอ.วรนุช</t>
  </si>
  <si>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</si>
  <si>
    <t>หากผู้ป่วยรายนี้ได้รับยา methotrexate ซึ่งเป็นยากลุ่ม DMARDs ควรให้ยาใดเพิ่ม เพื่อลดผลข้างเคียงของยา methotrexate ?</t>
  </si>
  <si>
    <t>omeprazole</t>
  </si>
  <si>
    <t>calcium carbonate</t>
  </si>
  <si>
    <t>folic acid</t>
  </si>
  <si>
    <t>vitamin K</t>
  </si>
  <si>
    <t>finasteride</t>
  </si>
  <si>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</si>
  <si>
    <t>อาการจากต่อมไทรอยด์โต: ผู้ป่วยจะมาพบแพทย์ด้วยอาการมีก้อนที่คอหรือคอโตกว่าปกติ</t>
  </si>
  <si>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</si>
  <si>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</si>
  <si>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</si>
  <si>
    <t>ยาใดต่อไปนี้สามารถใช้ในหญิง Hyperthyroidism ที่ตั้งครรภ์ได้</t>
  </si>
  <si>
    <t>Propylthyouracil (PTU)</t>
  </si>
  <si>
    <t>Levothyroxine</t>
  </si>
  <si>
    <t>ข้อ ก, ข ถูก</t>
  </si>
  <si>
    <t>ข้อ ก,ข,ค ถูก</t>
  </si>
  <si>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</si>
  <si>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ข้อใดไม่ใช่อาการข้างเคียงที่เกิดขึ้นถ้าผู้ป่วยที่มีภาวะขาดไทรอยด์ ได้รับยา Levothyroxine ที่มีขนาดสูง เกินไป</t>
  </si>
  <si>
    <t>น้ำหนักตัวเพิ่ม</t>
  </si>
  <si>
    <t>ทนร้อนไม่ได้</t>
  </si>
  <si>
    <t>หัวใจเต้นเร็ว</t>
  </si>
  <si>
    <t>กระดูกบาง</t>
  </si>
  <si>
    <t>ชัก</t>
  </si>
  <si>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</si>
  <si>
    <t>ข้อใดไม่ใช่อาการหรืออาการแสดงของภาวะ Hypothyroidism</t>
  </si>
  <si>
    <t>ทนต่อความเย็นไม่ได้</t>
  </si>
  <si>
    <t>ซึมเศร้า อ่อนเพลีย</t>
  </si>
  <si>
    <t>ผิวหนังแห้ง</t>
  </si>
  <si>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</si>
  <si>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26 (PLE_CC1_Practice_Exam.md)</t>
  </si>
  <si>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</si>
  <si>
    <t>Ferrous sulfate</t>
  </si>
  <si>
    <t>Phenytoin</t>
  </si>
  <si>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</si>
  <si>
    <t>ข้อ 27 (PLE_CC1_Practice_Exam.md)</t>
  </si>
  <si>
    <t>ข้อใดควรให้ก่อนผ่าตัดต่อมไทรอยด์เพื่อลดเลือดที่มาเลี้ยงต่อมไทรอยด์</t>
  </si>
  <si>
    <t>KI solution</t>
  </si>
  <si>
    <t>Radioactive iodine</t>
  </si>
  <si>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</si>
  <si>
    <t>ยาในข้อใดควรใช้รักษาใน ผู้ป่วยหญิงให้นมบุตรที่เป็นไทรอยด์พิษ</t>
  </si>
  <si>
    <t>ข้อ ก. และ ข้อ ข. สามารถใช้ได้ทั้งคู่</t>
  </si>
  <si>
    <t>ยาทุกข้อสามารถใช้ได้</t>
  </si>
  <si>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</si>
  <si>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</si>
  <si>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</si>
  <si>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</si>
  <si>
    <t>ข้อ 17 (PLE_CC1_Practice_Exam.md)</t>
  </si>
  <si>
    <t>ตอบ ข. มีอาการท้องเสีย หงุดหงิดง่าย เหงื่อออกมาก เนื่องจาก เป็นอาการของ Hyperthyroid</t>
  </si>
  <si>
    <t>ผิดตรงน้ำหนักเพิ่ม</t>
  </si>
  <si>
    <t>และง.ผิด Graves’ disease คือ สาเหตุหลัก ส่วน Hashimoto’s thyroiditis คือสาเหตุหลักของ hypothyroidism</t>
  </si>
  <si>
    <t>ผิดพบในเพศหญิงมากกว่าเพศชาย</t>
  </si>
  <si>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</si>
  <si>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</si>
  <si>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</si>
  <si>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ตอบ ค. Myxedema พัฒนาขึ้นเฉพาะในคนที่เป็นโรค Hypothyroidism ซึ่งเกิดจากต่อมไทรอยด์ทำงานน้อยผิดปกติ</t>
  </si>
  <si>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</si>
  <si>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</si>
  <si>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</si>
  <si>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</si>
  <si>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8 (PLE_CC1_Practice_Exam.md)</t>
  </si>
  <si>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</si>
  <si>
    <t>Timolol</t>
  </si>
  <si>
    <t>Pilocarpine</t>
  </si>
  <si>
    <t>Acetazolamide</t>
  </si>
  <si>
    <t>Betaxolol</t>
  </si>
  <si>
    <t>Brimonidine</t>
  </si>
  <si>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</si>
  <si>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ผู้ป่วยที่มีประวัติโรคเบาหวาน</t>
  </si>
  <si>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</si>
  <si>
    <t>กระตุ้นการหลั่ง insulin จาก pancreatic beta cells</t>
  </si>
  <si>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</si>
  <si>
    <t>ข้อใดไม่ใช่อาการแทรกซ้อนของโรคเบาหวาน เ%นHlme Metformm AวยลดMหNกOวใด</t>
  </si>
  <si>
    <t>- - sulfonyl Ohea กระPนการหQง lhsulmi หกbeta - all ในOบRอน</t>
  </si>
  <si>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</si>
  <si>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48 (PLE_CC1_Key_Rx20_UBU.md)</t>
  </si>
  <si>
    <t>ทำ DMSO เมื่อมีอาการปวดเป็นเวลา 7 วัน</t>
  </si>
  <si>
    <t>Insulin ควรใช้เป็นลำดับแแรกในการเริ่มรักษาผู้ป่วยเบาหวานชนิดที่ 2 หากไม่มีข้อห้ามใช้</t>
  </si>
  <si>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</si>
  <si>
    <t>ต่อมาผู้ป่วยมีผลตรวจร่างกายดังนี้ FBS 164 mg/dl, HbA1c 9.5 %, BUN 12, Scr 0.8, AST 210, ALT 250 ยาในข้อใดสามารถใช้ได้ปลอดภัยในผู้ป่วยรายนี้</t>
  </si>
  <si>
    <t>จัดเป็น intermediate insulin</t>
  </si>
  <si>
    <t>มี Zn ในตำรับ Intermediate-acting insulin เป็นอินซูลินที่มีลักษณะขุ่น และไม่สามรถฉีดเข้าทางหลอดเลือดดำ สามารถแบ่งไดเ้ป็น 2 ประเภทคือ</t>
  </si>
  <si>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</si>
  <si>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</si>
  <si>
    <t>การพัฒนายา Insulin ให$อยูGในรูปสารประกอบเชิงซ$อน สามารถใช$สารใด</t>
  </si>
  <si>
    <t>Triethanolamine</t>
  </si>
  <si>
    <t>Sodium chloride</t>
  </si>
  <si>
    <t>Dextrose</t>
  </si>
  <si>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</si>
  <si>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13 (PLE_CC1_Key_Rx20_UBU.md)</t>
  </si>
  <si>
    <t>NPH Insulin มีจำหนGายที่ใด</t>
  </si>
  <si>
    <t>ร$านขายยาแผนป[จจุบัน</t>
  </si>
  <si>
    <t>ร$านขายยาอันตรายและยาควบคุมพิเศษ</t>
  </si>
  <si>
    <t>สถานพยาบาลของแพทยเ_วชปฏิบัติทั่วไป</t>
  </si>
  <si>
    <t>สถานพยาบาลที่รับผู$ป&amp;วยไว$ค$างคืน</t>
  </si>
  <si>
    <t>ร้านขายของชำทั่วไป</t>
  </si>
  <si>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</si>
  <si>
    <t>ข้อ 19 (PLE_CC1_Key_Rx20_UBU.md)</t>
  </si>
  <si>
    <t>มีประวัติเปญนเบาหวานขณะตั้งครรภ_</t>
  </si>
  <si>
    <t>......ให$ประโยคมาเกี่ยวกับอุบัติการณ_การเกิดโรคเบาหวาน ถามวGา คำวGา “อุบัติการณ_” หมายความวGาอยGางไร</t>
  </si>
  <si>
    <t>ข้อ 106 (PLE_CC1_Key_Rx20_UBU.md)</t>
  </si>
  <si>
    <t>จำนวนผู$ป&amp;วยโรคเบาหวานรายใหมGจำนวนประชากรทั้งหมด ในพื้นที่ ในชGวงเวลาหนึ่ง</t>
  </si>
  <si>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</si>
  <si>
    <t>จำนวนผู$ป&amp;วยโรคเบาหวานรายใหมGตGอจำนวนประชากรที่มีความเสี่ยงที่จะเกิดโรคเบาห วาน</t>
  </si>
  <si>
    <t>จำนวนผู$ป&amp;วยโรคเบาหวานตGอจำนวนประชากรที่มีความเสี่ยงที่จะเกิดโรคเบาหวาน ณ จุดเวลาใดเวลาหนึ่ง</t>
  </si>
  <si>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</si>
  <si>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</si>
  <si>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</si>
  <si>
    <t>Metformin 500 mg PO BID</t>
  </si>
  <si>
    <t>Empagliflozin 10 mg PO OD</t>
  </si>
  <si>
    <t>Sitagliptin 100 mg PO OD</t>
  </si>
  <si>
    <t>Glipizide 5 mg PO OD</t>
  </si>
  <si>
    <t>Pioglitazone 15 mg PO OD</t>
  </si>
  <si>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</si>
  <si>
    <t>ยาเบาหวานที่ผู้ป่วยควรได้รับ</t>
  </si>
  <si>
    <t>RI</t>
  </si>
  <si>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</si>
  <si>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</si>
  <si>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ใช้ยามานานคุมน้ำตาลดี แต่อยู่ดีๆ FBS กับ HBA1C เกิน (อยู่ที่ประมาณ 9 กว่าๆ) เกิดจากอะไร</t>
  </si>
  <si>
    <t>เป็น insulin sensitizer</t>
  </si>
  <si>
    <t>ไม่เลือกเป็นยาอันดับแรก เพราะลด HbA1Cไม่ดี</t>
  </si>
  <si>
    <t>ผิด เพราะ เป็น insulin secretagogues</t>
  </si>
  <si>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</si>
  <si>
    <t>ผิด เพราะ สามารถเลือกเป็นยาอันดับแรก และลด HbA1C ได้</t>
  </si>
  <si>
    <t>Insulin NPH ก่อนนอน</t>
  </si>
  <si>
    <t>Insulin Aspart ก่อนอาหาร เช้า-กลางวัน-เย็น</t>
  </si>
  <si>
    <t>Insulin Glargine เช้า - เย็น</t>
  </si>
  <si>
    <t>ยาเบาหวานใด ไม่ต้องปรับขนาดยาในผู้ป่วยโรคไต</t>
  </si>
  <si>
    <t>Empaglifloxin</t>
  </si>
  <si>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</si>
  <si>
    <t>ข้อ 24 (PLE_CC1_Key_Rx20_UBU.md)</t>
  </si>
  <si>
    <t>3 เดือนต่อมาตรวจเพิ่ม FBS = 190, A1C= 8, LDL ปกติ ควรให้ยาใดเป็นอันดับแรกแก่ผู้ป่วย</t>
  </si>
  <si>
    <t>Simvastatin 20 mg HS</t>
  </si>
  <si>
    <t>Bisoprolol 5 mg OD</t>
  </si>
  <si>
    <t>Pioglitazone 30 mg OD</t>
  </si>
  <si>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</si>
  <si>
    <t>PLE_CC1_2564_All_Key ข้อ 129</t>
  </si>
  <si>
    <t>ข้อใดคือความเสี่ยงที่อาจเกิดขึ้นเมื่อใช้ metformin เป็นระยะยาว - Retinopathy - Nephro - Neuro</t>
  </si>
  <si>
    <t>Bone fracture</t>
  </si>
  <si>
    <t>Bladder cancer</t>
  </si>
  <si>
    <t>Cyanocobalamin deficiency</t>
  </si>
  <si>
    <t>Edema</t>
  </si>
  <si>
    <t>Heart failure</t>
  </si>
  <si>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</si>
  <si>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60 (PLE_CC1_2562_Key.md)</t>
  </si>
  <si>
    <t>หากผู้ป่วยท้อง 4 เดือนแล้วต้องรักษาได้รับยา MMI อยู่ควรทำอย่างไร dose dependent . X ิ Galerveining &gt; 30mg/d &amp;side : PTU in esier dose independent ~</t>
  </si>
  <si>
    <t>เปลี่ยนเป็น PTU ไนไตรมาสแรก</t>
  </si>
  <si>
    <t>ใช้ MMI ต่อ</t>
  </si>
  <si>
    <t>เปลี่ยนเป็น PTU จนคลอด</t>
  </si>
  <si>
    <t>ลดขนาดยา MMI</t>
  </si>
  <si>
    <t>เพิ่มขนาดยา MMI</t>
  </si>
  <si>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</si>
  <si>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คนไข้น ้าตาลสูงมาก HbA1C 10%, FBS 320 mg/dL, SCr 2 ได้รับ Insulin Mixtard 8-0-4 ac ข้อใด ถูกต้องเกี่ยวกับ Mixtard</t>
  </si>
  <si>
    <t>ออกฤทธิ์ช้ากว่า Glulisine</t>
  </si>
  <si>
    <t>ประกอบด้วย NPH 30%, RI 70%</t>
  </si>
  <si>
    <t>แก้ไขภาวะ Diabetic ketoacidosis</t>
  </si>
  <si>
    <t>เกิด Hypoglycemia น้อยกว่า Lispro</t>
  </si>
  <si>
    <t>สามารถฉีดได้ทั ง SC และ IV</t>
  </si>
  <si>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</si>
  <si>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5 (PLE_CC1_2560 22 April Set 1.md)</t>
  </si>
  <si>
    <t>ยาตัวใดท้าให้เกิด hypoglycemia ได้มากที่สุด</t>
  </si>
  <si>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</si>
  <si>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19 (PLE_CC1_2559.md)</t>
  </si>
  <si>
    <t>ข้อใดคือผลข้างเคียงของ Phentermine</t>
  </si>
  <si>
    <t>Proteinurea</t>
  </si>
  <si>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</si>
  <si>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75 (PLE_CC1_2559.md)</t>
  </si>
  <si>
    <t>ข้อใดถูกต้องที่สุดเกี่ยวกับภาวะ hyperthyroidism</t>
  </si>
  <si>
    <t>grave’s disease คือสาเหตุหลัก</t>
  </si>
  <si>
    <t>hashimotoคือสาเหตุหลัก</t>
  </si>
  <si>
    <t>หากพบภาวะนี้ในเด็ก มักพิจารณาการผ่าตัด</t>
  </si>
  <si>
    <t>หากพบภาวะนี้ในผู้สูงอายุ มักพิจารณาการผ่าตัด</t>
  </si>
  <si>
    <t>ระดับ euthyroid คือระดับฮอร์โมนไทรอยด์อยู่ในช่วงปกติ</t>
  </si>
  <si>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</si>
  <si>
    <t>ผู้ป่วยเพศหญิง อายุ 50 ปี เพิ่งได้รับการวินิจฉัยว่าเป็นเบาหวานชนิดที่ 2 และได้รับยา Metformin ข้อใด ถูกต้องเกี่ยวกับยานี้</t>
  </si>
  <si>
    <t>เพิ่มการหลั่งอินซูลินจาก β-cell ของตับอ่อน</t>
  </si>
  <si>
    <t>ลดการดูดซึมกลูโคสจากทางเดินอาหาร</t>
  </si>
  <si>
    <t>ลดการสังเคราะห์กลูโคสจากตับ</t>
  </si>
  <si>
    <t>ลด glucose uptake และการใช้กลูโคสในเซลล์เป้าหมายของอินซูลิน</t>
  </si>
  <si>
    <t>ผลข้างเคียงที่พบบ่อยคือ ภาวะกลูโคสในเลือดต่ำ (Hypoglycemia)</t>
  </si>
  <si>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</si>
  <si>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</si>
  <si>
    <t>Insulin Lispro มี onset ในการออกฤทธิ์ที่เร็วกว่า NPH และจัดอยู่ใน Rapid acting insulin</t>
  </si>
  <si>
    <t>NPH นิยมใช้ผสมกับ Regular insulin (RI) เพราะว่า NPH ออกฤทธิ์ได้รวดเร็วและ RI ออกฤทธิ์ได้ ช้ากว่าจึงทำให้สามารถควบคุมระดับน้ำตาลได้นาน</t>
  </si>
  <si>
    <t>Insulin Aspart บริหารยาโดยฉีดเข้าใต้ผิวหนังได้ทันทีก่อนมื้ออาหาร</t>
  </si>
  <si>
    <t>NPH insulin ไม่ใช้ในการรักษาผู้ป่วย Diabetic ketoacidosis</t>
  </si>
  <si>
    <t>สามารถฉีดได้ทั้ง SC และ IV</t>
  </si>
  <si>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</si>
  <si>
    <t>ผู้ป่วยหญิงไทยคู่ อายุ 45 ปี น้ำหนัก 86 กิโลกรัม สูง 168 ซม. CC: มาพบแพทย์ตามนัด HPI: Chronic kidney disease stage 4</t>
  </si>
  <si>
    <t>ไม่เหมาะสม เนื่องจากขนาดยา Metformin สูงเกินไป</t>
  </si>
  <si>
    <t>ไม่เมาะสม เนื่องจากขนาดยา Metformin ต่ำเกินไป</t>
  </si>
  <si>
    <t>ไม่เหมาะสม เนื่องจากผู้ป่วยมีค่า eGFR น้อยกว่า 30 mL/min/1.73 mଶ</t>
  </si>
  <si>
    <t>เหมาะสม เนื่องจากยานี้ไม่ทำให้เกิด hypoglycemia</t>
  </si>
  <si>
    <t>เหมาะสม เนื่องจากผู้ป่วยมีน้ำหนักตัวเกิน</t>
  </si>
  <si>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</si>
  <si>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</si>
  <si>
    <t>ไม่ควรเปลี่ยนยา เนื่องจากยาเดิมมีประสิทธิภาพดีอยู่แล้ว</t>
  </si>
  <si>
    <t>ควรเปลี่ยนยา โดยใช้ยา Glibenclamide แทน</t>
  </si>
  <si>
    <t>ควรเปลี่ยนยา โดยใช้ยา Acarbose แทน</t>
  </si>
  <si>
    <t>ควรปลี่ยนยา โดยใช้ยา Repaglinide แทน</t>
  </si>
  <si>
    <t>มีข้อถูกมากกว่า1ข้อ</t>
  </si>
  <si>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</si>
  <si>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15 (PLE_CC1_Practice_Exam.md)</t>
  </si>
  <si>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</si>
  <si>
    <t>Prader-Willi Syndrome</t>
  </si>
  <si>
    <t>Cushing's syndrome</t>
  </si>
  <si>
    <t>Hyperthyroidism</t>
  </si>
  <si>
    <t>ข้อ ก และ ข</t>
  </si>
  <si>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</si>
  <si>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ผู้ป่วยน้ำตาลสูงมาก HbA1C 10.0 %, FBS 320 mg/dL, SCr 2 mg/dL ได้รับ Insulin Mixtard 8- 0-4 ac ข้อใดถูกต้องเกี่ยวกับ Insulin Mixtard</t>
  </si>
  <si>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</si>
  <si>
    <t>เพราะเหตุใดผู้ป่วยโรคไตจึงควรหยุดใช้ Metformin</t>
  </si>
  <si>
    <t>ยังไม่มีการศึกษาข้อมูลความปลอดภัยของยาในผู้ป่วยโรคไต</t>
  </si>
  <si>
    <t>Metabolite ของยาเป็นพิษต่อตับและไต</t>
  </si>
  <si>
    <t>ยาสะสมจึงเพิ่มความเสี่ยงของการเกิด Lactic acidosis</t>
  </si>
  <si>
    <t>ยาเป็นพิษต่อไตโดยตรง</t>
  </si>
  <si>
    <t>ยามีผลเพิ่มกระบวนการ reabsorption ของไต ทำให้ไตทำงานหนักขึ้น</t>
  </si>
  <si>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</si>
  <si>
    <t>ข้อ 23 (PLE_CC1_Key_Rx20_UBU.md)</t>
  </si>
  <si>
    <t>การใช้ยาลดกรดในข้อใดต่อไปนี้ในขนาดสูงติดต่อกันเป็นเวลานาน จะทำให้เกิด acid rebound</t>
  </si>
  <si>
    <t>Aluminium hydroxide</t>
  </si>
  <si>
    <t>Hydrogen peroxide</t>
  </si>
  <si>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</si>
  <si>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GERD</t>
  </si>
  <si>
    <t>ข้อใดผิดเกี่ยวกับการใช้ยา bisacodyl</t>
  </si>
  <si>
    <t>ห้ามใช้ในหญิงตั้งครรภ์</t>
  </si>
  <si>
    <t>ห้ามใช้กับยาลดกรด</t>
  </si>
  <si>
    <t>ใช้เตรียมผู้ป่วยก่อนการผ่าตัด</t>
  </si>
  <si>
    <t>มีผลกดระบบประสาทส่วนกลาง</t>
  </si>
  <si>
    <t>เป็น stimulant laxative</t>
  </si>
  <si>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</si>
  <si>
    <t>Diarrhea &amp; Constipation</t>
  </si>
  <si>
    <t>ข้อ 2 Pharma Plus เล่มม่วง (เฉลยข้อ ก ง)</t>
  </si>
  <si>
    <t>ถ้าต้องการใช้ยาระบายเพื่อออกฤทธิ์ทันที ควรใช้ข้อใด</t>
  </si>
  <si>
    <t>Psyllium</t>
  </si>
  <si>
    <t>Senna</t>
  </si>
  <si>
    <t>Bisacodyl</t>
  </si>
  <si>
    <t>Enema</t>
  </si>
  <si>
    <t>Mucilin</t>
  </si>
  <si>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</si>
  <si>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 Pharma Plus เล่มม่วง (เฉลยข้อ ง)</t>
  </si>
  <si>
    <t>สารอนินทรีย์ใดมีคุณสมบัติเป็นยาถ่ายหรือยาระบาย ซึ่งสามารถให้หลังจากที่ได้รับยา niclosamide แล้ว</t>
  </si>
  <si>
    <t>Mg(OH)2</t>
  </si>
  <si>
    <t>Na2SO4</t>
  </si>
  <si>
    <t>Na2CO3</t>
  </si>
  <si>
    <t>NaCl</t>
  </si>
  <si>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</si>
  <si>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 Pharma Plus เล่มม่วง (เฉลยข้อ ก จ)</t>
  </si>
  <si>
    <t>ผลิตภัณฑ์ยาในข้อใดมีข้อบ่งใช้เกี่ยวข้องกับโรคริดสีดวงทวารน้อยที่สุด</t>
  </si>
  <si>
    <t>Proctosedyl</t>
  </si>
  <si>
    <t>Anusal</t>
  </si>
  <si>
    <t>Bactroban</t>
  </si>
  <si>
    <t>Essaven</t>
  </si>
  <si>
    <t>Siduol</t>
  </si>
  <si>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</si>
  <si>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 Pharma Plus เล่มม่วง (เฉลยข้อ ค)</t>
  </si>
  <si>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</si>
  <si>
    <t>มักมีถ่ายอุจจาระเป็นเลือดสีคล้ำดำ</t>
  </si>
  <si>
    <t>ริดสีดวงแบ่งเป็น 2 ประเภท คือริดสีดวงภายในและริดสีดวงภายนอก</t>
  </si>
  <si>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</si>
  <si>
    <t>ริดสีดวงภายนอก คือ เนื้อเยื่อที่อยู่ใต้ dentate line ยื่นออกเป็นติ่งเนื้อ</t>
  </si>
  <si>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</si>
  <si>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</si>
  <si>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ข้อใดเป็นขนาดใช้ของยา daflon 500 mg ในระยะเกิด hemorrhoidal attacks</t>
  </si>
  <si>
    <t>2 tablets daily</t>
  </si>
  <si>
    <t>6 tablets daily for 4 days followed by 4 tablets daily for 3 days</t>
  </si>
  <si>
    <t>4 tablets daily for 4 days followed by 3 tablets daily for 3 days</t>
  </si>
  <si>
    <t>1-tab tid pc for 5 days</t>
  </si>
  <si>
    <t>1-tab OD</t>
  </si>
  <si>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</si>
  <si>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 Pharma Plus เล่มม่วง (เฉลยข้อ ข)</t>
  </si>
  <si>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</si>
  <si>
    <t>ไทพอยด์ จำเป็นต้องใช้ยาปฏิชีวนะ</t>
  </si>
  <si>
    <t>บิดมีตัว จำเป็นต้องใช้ยาปฏิชีวนะ</t>
  </si>
  <si>
    <t>บิดไม่มีตัว ไม่จำเป็นต้องใช้ยาปฏิชีวนะ</t>
  </si>
  <si>
    <t>อหิวาต์ จำเป็นต้องใช้ยาปฏิชีวนะ</t>
  </si>
  <si>
    <t>อาหารเป็นพิษ ไม่จำเป็นต้องใช้ยาปฏิชีวนะ</t>
  </si>
  <si>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[NEED_REVIEW]
📌 จุดจำก่อนสอบ:
Loperamide = Peripheral mu-opioid agonist; ไม่ผ่าน BBB; ห้ามใช้ใน invasive diarrhea/เด็กเล็ก</t>
  </si>
  <si>
    <t>ข้อ 8 Pharma Plus เล่มม่วง (เฉลยข้อ ง)</t>
  </si>
  <si>
    <t>คำแนะนำในข้อใดไม่ถูกต้อง</t>
  </si>
  <si>
    <t>สามารถเตรียมผงน้ำตาลเกลือแร่เองได้ โดยใช้น้ำตาลทรายผสมกับเกลือแกง</t>
  </si>
  <si>
    <t>เมื่อละลายผงน้ำตาลเกลือแร่แล้ว ควรใช้ภายใน 24 ชั่วโมง</t>
  </si>
  <si>
    <t>ควรให้ดื่มนมที่ชงเข้มข้นกว่าปกติเพื่อชดเชยน้ำที่สูญเสียไป</t>
  </si>
  <si>
    <t>ล้างมือด้วยน้ำกับสบู่ทุกครั้งก่อนรับประทานอาหาร</t>
  </si>
  <si>
    <t>กินอาหารสุก ไม่มีแมลงวันตอม</t>
  </si>
  <si>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[NEED_REVIEW]
📌 จุดจำก่อนสอบ:
BSS ห้ามในเด็ก (Reye's), aspirin allergy; ทำลิ้น/อุจจาระดำชั่วคราว</t>
  </si>
  <si>
    <t>การให้ Kaolin - Pectin แก่ผู้ป่วยเพื่อ</t>
  </si>
  <si>
    <t>ดูดซับสารพิษ</t>
  </si>
  <si>
    <t>บรรเทาการสูญเสียน้ำและเกลือแร่จากร่างกาย</t>
  </si>
  <si>
    <t>มีคุณสมบัติเป็นประจุบวก</t>
  </si>
  <si>
    <t>ดูดน้ำเข้าหาตัว</t>
  </si>
  <si>
    <t>เพิ่มการดูดกลับน้ำและอิเลคโทรไลต์</t>
  </si>
  <si>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</si>
  <si>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10 Pharma Plus เล่มม่วง (เฉลยข้อ ก)</t>
  </si>
  <si>
    <t>เพราะเหตุใดจึงห้ามใช้ norfloxacin ในเด็กอายุต่ำกว่า 12 ปี</t>
  </si>
  <si>
    <t>ทำให้คลื่นไส้</t>
  </si>
  <si>
    <t>ทำให้ปวดศีรษะ</t>
  </si>
  <si>
    <t>ทำให้เกิดความผิดปกติในการเจริญเติบโตของข้อกระดูก เส้นเอ็น</t>
  </si>
  <si>
    <t>ทำให้เกิดความผิดปกติในการทำงานของตับและไต</t>
  </si>
  <si>
    <t>ทำให้เกิดภาวะช็อก</t>
  </si>
  <si>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</si>
  <si>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</si>
  <si>
    <t>ให้ยาทั้งสองแตกตัวได้ดียิ่งขึ้น</t>
  </si>
  <si>
    <t>ลดผลข้างเคียงซึ่งกันและกัน เนื่องจาก Al(OH)3 ทำให้เกิดอาการท้องผูก</t>
  </si>
  <si>
    <t>ลดผลข้างเคียงซึ่งกันและกัน เนื่องจาก Al(OH)3 ทำให้เกิดอาการท้องเสีย</t>
  </si>
  <si>
    <t>เพิ่มความคงตัวของตำรับ</t>
  </si>
  <si>
    <t>ลดอาการคลื่นไส้อาเจียน เมื่อใช้ยาลดกรดตัวเดียว</t>
  </si>
  <si>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</si>
  <si>
    <t>ข้อ 12 Pharma Plus เล่มม่วง (เฉลยข้อ ข)</t>
  </si>
  <si>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</si>
  <si>
    <t>Dyspepsia</t>
  </si>
  <si>
    <t>Heart burn</t>
  </si>
  <si>
    <t>Malignancy in stomach</t>
  </si>
  <si>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</si>
  <si>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สาเหตุหลักของโรคดังกล่าวในข้อที่ 13 ที่ได้รับการวินิจฉัยจากแพทย์คือ</t>
  </si>
  <si>
    <t>Zolinger Ellison syndrome</t>
  </si>
  <si>
    <t>Helicobacter Pylori</t>
  </si>
  <si>
    <t>Alcoholism</t>
  </si>
  <si>
    <t>Cigarette</t>
  </si>
  <si>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</si>
  <si>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Dyspepsia &amp; PUD</t>
  </si>
  <si>
    <t>ข้อ 14 Pharma Plus เล่มม่วง (เฉลยข้อ ค)</t>
  </si>
  <si>
    <t>สมุนไพรในข้อใด มีฤทธิ์รักษาโรคแผลในกระเพาะอาหารได้ดีจนพัฒนาไปเป็นยาแผนปัจจุบัน และสารสำคัญของพืชดังกล่าวคืออะไร</t>
  </si>
  <si>
    <t>มังคุด - plaunotol</t>
  </si>
  <si>
    <t>มะขามแขก - sennoside</t>
  </si>
  <si>
    <t>ปลพน้อย - curcuminoids</t>
  </si>
  <si>
    <t>ขมิ้นชัน - curcuminoids</t>
  </si>
  <si>
    <t>ปลาน้อย - plaunotol</t>
  </si>
  <si>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</si>
  <si>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15 Pharma Plus เล่มม่วง (เฉลยข้อ จ)</t>
  </si>
  <si>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</si>
  <si>
    <t>Castor oil</t>
  </si>
  <si>
    <t>Psyllium seed</t>
  </si>
  <si>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</si>
  <si>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</si>
  <si>
    <t>ผู้ป่วยมักจะดื่มน้ำวันละ 6 แก้ว</t>
  </si>
  <si>
    <t>ผู้ป่วยมักจะออกกำลังกายสม่ำเสมอ</t>
  </si>
  <si>
    <t>ผู้ป่วยมักจะหลีกเลี่ยงการดื่มชา กาแฟ</t>
  </si>
  <si>
    <t>ผู้ป่วยมักจะดื่มนม 1 แก้วเป็นประจำทุกวัน</t>
  </si>
  <si>
    <t>ผู้ป่วยมักจะนั่งอ่านหนังสือในห้องน้ำเป็นเวลานาน</t>
  </si>
  <si>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</si>
  <si>
    <t>ข้อใดไม่ใช่กลไกการออกฤทธิ์ของยาระบาย</t>
  </si>
  <si>
    <t>ช่วยเหลือลื่นอุจจาระ</t>
  </si>
  <si>
    <t>ทำให้อุจจาระอ่อนนุ่ม</t>
  </si>
  <si>
    <t>เพิ่มแรงดันออสโมติกภายในลำไส้</t>
  </si>
  <si>
    <t>ทำให้อุจจาระจับตัวเป็นก้อน</t>
  </si>
  <si>
    <t>เพิ่มการเคลื่อนไหวของลำไส้เล็ก</t>
  </si>
  <si>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</si>
  <si>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18 Pharma Plus เล่มม่วง (เฉลยข้อ ง)</t>
  </si>
  <si>
    <t>หากผู้ป่วยมีประวัติลำไส้อุดตัน ไม่ควรให้ยาตัวใด</t>
  </si>
  <si>
    <t>Lactulose</t>
  </si>
  <si>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</si>
  <si>
    <t>ข้อใดไม่ใช่คำแนะนำที่ถูกต้องในการใช้ยาเหน็บทวาร</t>
  </si>
  <si>
    <t>ฉีกซองพลาสติกก่อนใช้</t>
  </si>
  <si>
    <t>เก็บยาไว้ในตู้เย็นช่องแช่แข็ง</t>
  </si>
  <si>
    <t>ล้างมือให้สะอาดก่อนเหน็บยา</t>
  </si>
  <si>
    <t>ไม่ต้องนำยาเหน็บออกจากร่างกายหลังจากเหน็บ</t>
  </si>
  <si>
    <t>เหน็บยาแล้วให้นอนพักอย่างน้อย 15 นาทีก่อนลุก</t>
  </si>
  <si>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</si>
  <si>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20 Pharma Plus เล่มม่วง (เฉลยข้อ ข)</t>
  </si>
  <si>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</si>
  <si>
    <t>ยาชนิดเม็ดส่วนใหญ่ต้องกลืนยาทั้งเม็ด ห้ามเคี้ยว</t>
  </si>
  <si>
    <t>ยาอาจทำให้ท้องเสีย เพราะมีตัวยาสำคัญคือ aluminium hydroxide</t>
  </si>
  <si>
    <t>ในผู้ป่วยที่เป็นโรคไตร่วมด้วย ควรให้ยาลดกรดที่มี Magnesium เป็นองค์ประกอบ</t>
  </si>
  <si>
    <t>ควรรับประทานยาก่อนอาหาร 1 ชม. และก่อนนอนเพื่อให้ยามีฤทธิ์อยู่ได้นาน</t>
  </si>
  <si>
    <t>ในผู้ป่วยที่มีอาการรุนแรงสามารถรับประทานได้ทุก 1 ชั่วโมง</t>
  </si>
  <si>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</si>
  <si>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21 Pharma Plus เล่มม่วง (เฉลยข้อ )</t>
  </si>
  <si>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</si>
  <si>
    <t>โดยทั่วไประยะเวลาที่ใช้รักษา 8-12 สัปดาห์</t>
  </si>
  <si>
    <t>ระยะเวลาที่ใช้รักษา Duodenal ulcer ยาวกว่า gastric ulcer</t>
  </si>
  <si>
    <t>ยากลุ่มนี้สามารถยับยั้งการเจริญของเชื้อ H. pylori ได้</t>
  </si>
  <si>
    <t>สามารถให้ผู้ป่วยรับประทานยากลุ่มนี้ครั้งเดียวก่อนนอนได้</t>
  </si>
  <si>
    <t>ยาที่เป็น Prototype ของกลุ่มนี้เกิดปฏิกิริยากับยาน้อย</t>
  </si>
  <si>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</si>
  <si>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22 Pharma Plus เล่มม่วง (เฉลยข้อ ก ง)</t>
  </si>
  <si>
    <t>สารสำคัญของขมิ้นชันที่ออกฤทธิ์ในการกระตุ้นการหลั่ง</t>
  </si>
  <si>
    <t>Lupeol</t>
  </si>
  <si>
    <t>Curcumin</t>
  </si>
  <si>
    <t>Stigmasterol</t>
  </si>
  <si>
    <t>Andrographolide</t>
  </si>
  <si>
    <t>Hydroxyanthracens</t>
  </si>
  <si>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</si>
  <si>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23 Pharma Plus เล่มม่วง (เฉลยข้อ ข)</t>
  </si>
  <si>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</si>
  <si>
    <t>ผงน้ำตาลเกลือแร่</t>
  </si>
  <si>
    <t>Loperamide</t>
  </si>
  <si>
    <t>Chlortetracycline</t>
  </si>
  <si>
    <t>Furazolidine</t>
  </si>
  <si>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</si>
  <si>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24 Pharma Plus เล่มม่วง (เฉลยข้อ ค ง จ)</t>
  </si>
  <si>
    <t>ในผู้ใหญ่ คนปกติ ถ้าพบว่า ผู้ป่วยท้องเสียจากเชื้อ Salmonella จะให้ยาต้านจุลชีพในข้อใด</t>
  </si>
  <si>
    <t>Ofloxacin</t>
  </si>
  <si>
    <t>ไม่ต้องให้ยาต้านจุลชีพ</t>
  </si>
  <si>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</si>
  <si>
    <t>ข้อ 25 Pharma Plus เล่มม่วง (เฉลยข้อ ก)</t>
  </si>
  <si>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</si>
  <si>
    <t>Nicotinic receptor, ปากแห้ง ตาพร่า ท้องผูก</t>
  </si>
  <si>
    <t>Muscarinic receptor, ปากแห้ง ตาพร่า ท้องผูก</t>
  </si>
  <si>
    <t>Beta-2 receptor, หลอดลมตีบ</t>
  </si>
  <si>
    <t>Beta-1 receptor, หลอดลมตีบ</t>
  </si>
  <si>
    <t>Alpha 1 receptor, ปากแห้ง ตาพร่า ท้องผูก</t>
  </si>
  <si>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[NEED_REVIEW]
📌 จุดจำก่อนสอบ:
Hyoscine = Anticholinergic (Muscarinic blocker); side effects: ปากแห้ง ตาพร่า ท้องผูก ปัสสาวะลำบาก</t>
  </si>
  <si>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</si>
  <si>
    <t>พยาธิปากขอ</t>
  </si>
  <si>
    <t>พยาธิเส้นด้าย</t>
  </si>
  <si>
    <t>พยาธิไส้เดือน</t>
  </si>
  <si>
    <t>พยาธิใบไม้ในตับ</t>
  </si>
  <si>
    <t>พยาธิตัวตืด</t>
  </si>
  <si>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</si>
  <si>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</si>
  <si>
    <t>วัว</t>
  </si>
  <si>
    <t>หมู</t>
  </si>
  <si>
    <t>ปลา</t>
  </si>
  <si>
    <t>ไก่</t>
  </si>
  <si>
    <t>หนู</t>
  </si>
  <si>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</si>
  <si>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28 Pharma Plus เล่มม่วง (เฉลยข้อ ข)</t>
  </si>
  <si>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</si>
  <si>
    <t>1000 mg 1x3, 1 day</t>
  </si>
  <si>
    <t>1000 mg 1x3, 2 days</t>
  </si>
  <si>
    <t>600 mg 1x3, 14 days</t>
  </si>
  <si>
    <t>600 mg 2x1, 1 day</t>
  </si>
  <si>
    <t>600 mg 2x3, 1 day</t>
  </si>
  <si>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</si>
  <si>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29 Pharma Plus เล่มม่วง (เฉลยข้อ )</t>
  </si>
  <si>
    <t>สมุนไพรใดที่อาจแนะนำในผู้ป่วยรายนี้ คือ</t>
  </si>
  <si>
    <t>เมล็ดฟักทอง</t>
  </si>
  <si>
    <t>เมล็ดทานตะวัน</t>
  </si>
  <si>
    <t>เปลือกมังคุด</t>
  </si>
  <si>
    <t>เปลือกทับทิม</t>
  </si>
  <si>
    <t>เปลือกส้มโอ</t>
  </si>
  <si>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</si>
  <si>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30 Pharma Plus เล่มม่วง (เฉลยข้อ ก)</t>
  </si>
  <si>
    <t>ข้อแนะนำการใช้ยาสำหรับผู้ป่วยให้นมบุตรคือข้อใด</t>
  </si>
  <si>
    <t>สามารถใช้ได้เพราะไม่สามารถขับออกทางน้ำนม</t>
  </si>
  <si>
    <t>สามารถใช้ได้ไม่มีอาการข้างเคียงที่ร้ายแรง</t>
  </si>
  <si>
    <t>สามารถใช้ได้เพราะไม่เกิดเมตาบอไลต์ที่เป็นพิษ</t>
  </si>
  <si>
    <t>ไม่สามารถใช้ได้เพราะขับออกทางน้ำนม</t>
  </si>
  <si>
    <t>ไม่สามารถใช้ได้ขณะให้นมบุตร และหยุดใช้ยาอีก 2-3 วัน เพราะเมตาบอไลต์ช้า</t>
  </si>
  <si>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</si>
  <si>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31 Pharma Plus เล่มม่วง (เฉลยข้อ ง)</t>
  </si>
  <si>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</si>
  <si>
    <t>GU</t>
  </si>
  <si>
    <t>DU</t>
  </si>
  <si>
    <t>Gastroparesis</t>
  </si>
  <si>
    <t>IBS</t>
  </si>
  <si>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</si>
  <si>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32 Pharma Plus เล่มม่วง (เฉลยข้อ ก)</t>
  </si>
  <si>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</si>
  <si>
    <t>Sucralfate 1 g bid</t>
  </si>
  <si>
    <t>Famotidine 10 mg OD</t>
  </si>
  <si>
    <t>Domperidone 10 mg tid</t>
  </si>
  <si>
    <t>Magnesium-aluminium hydroxide 30 ml</t>
  </si>
  <si>
    <t>Omeprazole 20 mg OD</t>
  </si>
  <si>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</si>
  <si>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Domperidone ออกฤทธิ์ผ่าน receptor ใด</t>
  </si>
  <si>
    <t>D2 receptor</t>
  </si>
  <si>
    <t>M3 muscarinic receptor</t>
  </si>
  <si>
    <t>5-HT3 receptor</t>
  </si>
  <si>
    <t>5-HT4 receptor</t>
  </si>
  <si>
    <t>Alpha-1 adrenergic receptor</t>
  </si>
  <si>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[NEED_REVIEW]
📌 จุดจำก่อนสอบ:
Domperidone = D2 antagonist; ผ่าน BBB น้อย; side effects: QT prolongation, Hyperprolactinemia</t>
  </si>
  <si>
    <t>Nausea and vomiting</t>
  </si>
  <si>
    <t>ข้อ 34 Pharma Plus เล่มม่วง (เฉลยข้อ ก)</t>
  </si>
  <si>
    <t>ยาใดห้ามบดในสายยาง</t>
  </si>
  <si>
    <t>Famotidine</t>
  </si>
  <si>
    <t>Domperidone</t>
  </si>
  <si>
    <t>Al3+ + Mg2+</t>
  </si>
  <si>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</si>
  <si>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35 Pharma Plus เล่มม่วง (เฉลยข้อ จ)</t>
  </si>
  <si>
    <t>ยาใดที่เป็นยาสามัญประจำบ้าน</t>
  </si>
  <si>
    <t>Al3+ + Mg2+ (alum milk)</t>
  </si>
  <si>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</si>
  <si>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ยาใดต่อไปนี้ไม่ได้อยู่ใน regimen ในการรักษา H. pylori</t>
  </si>
  <si>
    <t>Ranitidine</t>
  </si>
  <si>
    <t>Metronidazole</t>
  </si>
  <si>
    <t>Lansoprazole</t>
  </si>
  <si>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</si>
  <si>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37 Pharma Plus เล่มม่วง (เฉลยข้อ ง)</t>
  </si>
  <si>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</si>
  <si>
    <t>Omeprazole ลดการดูดซึม clopidogrel เนื่องจากดูดซึมได้ดีในสภาวะเป็นกรด</t>
  </si>
  <si>
    <t>Clopidogrel ลดการดูดซึม omeprazole</t>
  </si>
  <si>
    <t>Omeprazole ลดการดูดซึม clopidogrel เกิด toxic metabolite ที่ตับ</t>
  </si>
  <si>
    <t>Omeprazole เพิ่มการขับออกของ clopidogrel</t>
  </si>
  <si>
    <t>Omeprazole ทำให้ clopidogrel ไม่ถูกเปลี่ยนในรูปที่ออกฤทธิ์</t>
  </si>
  <si>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</si>
  <si>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 38 Pharma Plus เล่มม่วง (เฉลยข้อ จ)</t>
  </si>
  <si>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</si>
  <si>
    <t>Diazepam</t>
  </si>
  <si>
    <t>Warfarin</t>
  </si>
  <si>
    <t>Escitalopram</t>
  </si>
  <si>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</si>
  <si>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 39 Pharma Plus เล่มม่วง (เฉลยข้อ ข)</t>
  </si>
  <si>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</si>
  <si>
    <t>แกะแคปซูลแล้วผสมกับน้ำเปล่า</t>
  </si>
  <si>
    <t>นมถั่วเหลือง</t>
  </si>
  <si>
    <t>ยาลดกรด</t>
  </si>
  <si>
    <t>น้ำส้ม</t>
  </si>
  <si>
    <t>น้ำหวาน</t>
  </si>
  <si>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</si>
  <si>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</si>
  <si>
    <t>พยาธิไส้เดือน (Ascariasis)</t>
  </si>
  <si>
    <t>พยาธิตัวตืด (Tape worm)</t>
  </si>
  <si>
    <t>พยาธิปากขอ (Hook worm)</t>
  </si>
  <si>
    <t>พยาธิเข็มหมุด (Enterobiasis or pinworm)</t>
  </si>
  <si>
    <t>พยาธิใบไม้ในตับ (Opisthorchis)</t>
  </si>
  <si>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</si>
  <si>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41 Pharma Plus เล่มม่วง (เฉลยข้อ ง)</t>
  </si>
  <si>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</si>
  <si>
    <t>Albendazole 400 mg ติดต่อกัน 3 วัน</t>
  </si>
  <si>
    <t>Mebendazole 100 mg ครั้งเดียว แล้วทานซ้ำในอีก 2 wk</t>
  </si>
  <si>
    <t>Niclosamide</t>
  </si>
  <si>
    <t>Pyrantel pamoate</t>
  </si>
  <si>
    <t>Praziquantel</t>
  </si>
  <si>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</si>
  <si>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42 Pharma Plus เล่มม่วง (เฉลยข้อ ข)</t>
  </si>
  <si>
    <t>แม่ไปตรวจพบว่าตนเองมีเชื้อพยาธิตัวตืด ยาที่ใช้ในการรักษาแม่คือยาอะไร</t>
  </si>
  <si>
    <t>Mebendazole</t>
  </si>
  <si>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</si>
  <si>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ข้อใดเป็นกลไกการออกฤทธิ์ของยา mebendazole</t>
  </si>
  <si>
    <t>มีผลทำให้พยาธิเกิด paralysis</t>
  </si>
  <si>
    <t>Inhibit oxidative phosphorylation glucose</t>
  </si>
  <si>
    <t>ขัดขวางการนำ glucose มาใช้ของพยาธิ (block glucose reuptake)</t>
  </si>
  <si>
    <t>ทำให้พยาธิเกาะอยู่ผนังลำไส้หลุดออก</t>
  </si>
  <si>
    <t>ไม่มีข้อถูก</t>
  </si>
  <si>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</si>
  <si>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ข้อใดคือคำแนะนำของการใช้ยา albendazole</t>
  </si>
  <si>
    <t>ห้ามทานร่วมกับยาลดกรด</t>
  </si>
  <si>
    <t>ห้ามทานร่วมกับ alcohol</t>
  </si>
  <si>
    <t>รับประทานยาถ่ายตามทุกครั้ง</t>
  </si>
  <si>
    <t>กินซ้ำทุกเดือนเพื่อป้องกัน</t>
  </si>
  <si>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</si>
  <si>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45 Pharma Plus เล่มม่วง (เฉลยข้อ ก)</t>
  </si>
  <si>
    <t>สมุนไพรใดที่มีอยู่ในตำรับยาเตรียมแผนไทยที่มีผลการศึกษาว่ามีฤทธิ์ต้านพยาธิ</t>
  </si>
  <si>
    <t>ฟักทอง ขี้เหล็ก</t>
  </si>
  <si>
    <t>มะเกลือ, ฟักทอง</t>
  </si>
  <si>
    <t>มะเกลือ, กานพลู</t>
  </si>
  <si>
    <t>มะม่วง, เปล้าน้อย</t>
  </si>
  <si>
    <t>กะเพรา, หอมแดง</t>
  </si>
  <si>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</si>
  <si>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46 Pharma Plus เล่มม่วง (เฉลยข้อ ข)</t>
  </si>
  <si>
    <t>หญิงตั้งครรภ์เป็นพยาธิตืดสามารถใช้ยาอะไรได้</t>
  </si>
  <si>
    <t>Albendazole</t>
  </si>
  <si>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</si>
  <si>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47 Pharma Plus เล่มม่วง (เฉลยข้อ ค)</t>
  </si>
  <si>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</si>
  <si>
    <t>ORS</t>
  </si>
  <si>
    <t>Diphenoxylate + atropine</t>
  </si>
  <si>
    <t>Hyoscine</t>
  </si>
  <si>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</si>
  <si>
    <t>ข้อ 48 Pharma Plus เล่มม่วง (เฉลยข้อ ก)</t>
  </si>
  <si>
    <t>ยาสมุนไพรตามสาธารณสุขมูลฐาน ข้อใดควรเลือกใช้</t>
  </si>
  <si>
    <t>กล้วยน้ำว้าสุก</t>
  </si>
  <si>
    <t>เนื้อมังคุด</t>
  </si>
  <si>
    <t>เมล็ดทับทิม</t>
  </si>
  <si>
    <t>ผลฝรั่งดิบ</t>
  </si>
  <si>
    <t>ใบตับเต่าเสียด</t>
  </si>
  <si>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</si>
  <si>
    <t>ข้อ 49 Pharma Plus เล่มม่วง (เฉลยข้อ ง)</t>
  </si>
  <si>
    <t>ยาใดที่ไม่ควรจ่ายในผู้ป่วยรายนี้</t>
  </si>
  <si>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</si>
  <si>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ข้อใดเป็นคำแนะนำการปฏิบัติในการใช้ activated charcoal</t>
  </si>
  <si>
    <t>รับประทานก่อนอาหารครึ่งชั่วโมง</t>
  </si>
  <si>
    <t>รับประทานวันละ 3 เม็ด วันละ 3 ครั้ง</t>
  </si>
  <si>
    <t>รับประทานหลังอาหาร 2 ชั่วโมง</t>
  </si>
  <si>
    <t>รับประทานยาต่อเนื่องจนหมด</t>
  </si>
  <si>
    <t>รับประทานร่วมกับยาฆ่าเชื้อได้</t>
  </si>
  <si>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</si>
  <si>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51 Pharma Plus เล่มม่วง (เฉลยข้อ ข)</t>
  </si>
  <si>
    <t>ข้อใดคือกลไกการออกฤทธิ์ของยา norfloxacin</t>
  </si>
  <si>
    <t>ยับยั้งการสร้างเอนไซม์ topoisomerase</t>
  </si>
  <si>
    <t>ยับยั้งการสร้างเอนไซม์ dihydrofolate synthase</t>
  </si>
  <si>
    <t>ยับยั้งการสร้าง nucleic acid</t>
  </si>
  <si>
    <t>ยับยั้งการสร้าง cell wall</t>
  </si>
  <si>
    <t>ยับยั้งการสร้าง cell membrane</t>
  </si>
  <si>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</si>
  <si>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52 Pharma Plus เล่มม่วง (เฉลยข้อ ก)</t>
  </si>
  <si>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</si>
  <si>
    <t>เปลี่ยน omeprazole เป็น ranitidine</t>
  </si>
  <si>
    <t>เปลี่ยน omeprazole เป็น pantoprazole</t>
  </si>
  <si>
    <t>เปลี่ยน ketoconazole เป็น itraconazole</t>
  </si>
  <si>
    <t>เปลี่ยน ketoconazole เป็น fluconazole</t>
  </si>
  <si>
    <t>ให้รับประทาน omeprazole ตอนเช้า และ ketoconazole ตอนเย็น</t>
  </si>
  <si>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</si>
  <si>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53 Pharma Plus เล่มม่วง (เฉลยข้อ ง)</t>
  </si>
  <si>
    <t>Omeprazole ใช้ยาอย่างไรจึงจะเหมาะสม</t>
  </si>
  <si>
    <t>เวลาไหนก็ได้</t>
  </si>
  <si>
    <t>ก่อนอาหาร 1 ชั่วโมง</t>
  </si>
  <si>
    <t>หลังอาหารทันที</t>
  </si>
  <si>
    <t>หลังอาหาร 1 ชั่วโมง</t>
  </si>
  <si>
    <t>ก่อนนอน</t>
  </si>
  <si>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</si>
  <si>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54 Pharma Plus เล่มม่วง (เฉลยข้อ ข)</t>
  </si>
  <si>
    <t>กลไกข้อใดคือกลไกของยา omeprazole</t>
  </si>
  <si>
    <t>ยับยั้ง H1 receptor</t>
  </si>
  <si>
    <t>ยับยั้ง H2 receptor</t>
  </si>
  <si>
    <t>ยับยั้ง M2 receptor</t>
  </si>
  <si>
    <t>ยับยั้ง H+/K+ ATPase</t>
  </si>
  <si>
    <t>ยับยั้ง Alpha 1 receptor</t>
  </si>
  <si>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</si>
  <si>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55 Pharma Plus เล่มม่วง (เฉลยข้อ ง)</t>
  </si>
  <si>
    <t>อันตรกิริยาระหว่าง omeprazole กับ ketoconazole คือ</t>
  </si>
  <si>
    <t>ลดระดับยา ketoconazole</t>
  </si>
  <si>
    <t>เพิ่มระดับยา ketoconazole</t>
  </si>
  <si>
    <t>ลดระดับยา omeprazole</t>
  </si>
  <si>
    <t>เพิ่มระดับยา omeprazole</t>
  </si>
  <si>
    <t>เพิ่มระดับยา ketoconazole และ omeprazole</t>
  </si>
  <si>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</si>
  <si>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Hycosine N-butyl bromide ห้ามใช้ในคนไข้โรคต่อไปนี้ ยกเว้น ข้อใด</t>
  </si>
  <si>
    <t>Obstructive urotitis</t>
  </si>
  <si>
    <t>Gut obstruction</t>
  </si>
  <si>
    <t>Myasthenia gravis</t>
  </si>
  <si>
    <t>Duodenal ulcer</t>
  </si>
  <si>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</si>
  <si>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57 Pharma Plus เล่มม่วง (เฉลยข้อ จ)</t>
  </si>
  <si>
    <t>ข้อใดคือคำแนะนำวิธีการรับประทานยา ketoconazole</t>
  </si>
  <si>
    <t>กินก่อนอาหาร 30 นาที</t>
  </si>
  <si>
    <t>ควรกินพร้อมไขมันเพื่อเพิ่มการดูดซึม</t>
  </si>
  <si>
    <t>ควรกินพร้อมยาลดกรด</t>
  </si>
  <si>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</si>
  <si>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58 Pharma Plus เล่มม่วง (เฉลยข้อ ค)</t>
  </si>
  <si>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</si>
  <si>
    <t>จากการศึกษาในสัตว์พบว่าทำให้เกิดความผิดปกติต่อตัวอ่อนในครรภ์ แต่ไม่มีการศึกษาในมนุษย์</t>
  </si>
  <si>
    <t>จากการศึกษาในมนุษย์พบว่าไม่มีความเสี่ยงในการก่อให้เกิดความผิดปกติต่อทารกในครรภ์</t>
  </si>
  <si>
    <t>จากการศึกษาในสัตว์พบว่าไม่มีความเสี่ยงในการทำให้เกิดความผิดปกติของตัวอ่อนในครรภ์ แต่ไม่มีการศึกษาในมนุษย์</t>
  </si>
  <si>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</si>
  <si>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</si>
  <si>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</si>
  <si>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59 Pharma Plus เล่มม่วง (เฉลยข้อ ค)</t>
  </si>
  <si>
    <t>ผู้ป่วยเป็นโรค GERD ยาใดไม่ควรใช้</t>
  </si>
  <si>
    <t>Serratopeptidase</t>
  </si>
  <si>
    <t>Metoclopramide</t>
  </si>
  <si>
    <t>MOM</t>
  </si>
  <si>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</si>
  <si>
    <t>ข้อ 60 Pharma Plus เล่มม่วง (เฉลยข้อ ค)</t>
  </si>
  <si>
    <t>ผู้ป่วยควรได้รับการรักษาด้วยยาใด</t>
  </si>
  <si>
    <t>Bismuth subsalicylate</t>
  </si>
  <si>
    <t>Salol and Menthol mixture</t>
  </si>
  <si>
    <t>Hyoscine-N-butyl bromide</t>
  </si>
  <si>
    <t>Simethicone</t>
  </si>
  <si>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</si>
  <si>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สารสำคัญในมะขามแขกเป็นสารกลุ่มใดและออกฤทธิ์เป็นยาระบายกลุ่มใด</t>
  </si>
  <si>
    <t>Anthraquinones, stimulant laxatives</t>
  </si>
  <si>
    <t>Quinones, stimulant laxatives</t>
  </si>
  <si>
    <t>Alkaloids, bulk forming laxatives</t>
  </si>
  <si>
    <t>Isoquinoline alkaloids, stimulant laxatives</t>
  </si>
  <si>
    <t>Flavonoids, bulk forming laxatives</t>
  </si>
  <si>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</si>
  <si>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62 Pharma Plus เล่มม่วง (เฉลยข้อ ก)</t>
  </si>
  <si>
    <t>อาการไม่พึงประสงค์ใดที่พบบ่อยในช่วงแรกของการใช้ยาระบายมะขามแขก</t>
  </si>
  <si>
    <t>Abdominal pain</t>
  </si>
  <si>
    <t>Antonic colon</t>
  </si>
  <si>
    <t>Electrolyte imbalance</t>
  </si>
  <si>
    <t>Noninfectious colitis</t>
  </si>
  <si>
    <t>Irritate bowel</t>
  </si>
  <si>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</si>
  <si>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63 Pharma Plus เล่มม่วง (เฉลยข้อ ก)</t>
  </si>
  <si>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</si>
  <si>
    <t>Entamoeba histolytica</t>
  </si>
  <si>
    <t>Shigella dysenteriae</t>
  </si>
  <si>
    <t>Giardia lamblia</t>
  </si>
  <si>
    <t>Vibrio parahaemolyticus</t>
  </si>
  <si>
    <t>Clostridium difficile</t>
  </si>
  <si>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</si>
  <si>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64 Pharma Plus เล่มม่วง (เฉลยข้อ ข)</t>
  </si>
  <si>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</si>
  <si>
    <t>เกลือแร่</t>
  </si>
  <si>
    <t>ยาดูดซับสารพิษ</t>
  </si>
  <si>
    <t>ยาหยุดถ่าย</t>
  </si>
  <si>
    <t>ยาลดไข้</t>
  </si>
  <si>
    <t>ยาแก้คลื่นไส้อาเจียน</t>
  </si>
  <si>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</si>
  <si>
    <t>ข้อ 65 Pharma Plus เล่มม่วง (เฉลยข้อ ค)</t>
  </si>
  <si>
    <t>ยาในข้อใดต่อไปนี้เป็น drug of choice ของการรักษาอาการท้องเสียในผู้ป่วยรายนี้</t>
  </si>
  <si>
    <t>Amoxicillin</t>
  </si>
  <si>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</si>
  <si>
    <t>ข้อ 66 Pharma Plus เล่มม่วง (เฉลยข้อ ข)</t>
  </si>
  <si>
    <t>ข้อใดเป็นคำแนะนำการปฏิบัติตัวที่ไม่ถูกต้อง</t>
  </si>
  <si>
    <t>ห้ามกินยาในข้อ 66 ร่วมกับนมหรือยาลดกรด</t>
  </si>
  <si>
    <t>ให้รับประทานยาต่อเนื่องตลอดการรักษา</t>
  </si>
  <si>
    <t>ควรรับประทานอาหารอ่อน</t>
  </si>
  <si>
    <t>หากไม่รับประทานยาจนหมดอาจเกิดการติดเชื้อดื้อยาได้</t>
  </si>
  <si>
    <t>ผสมผงเกลือแร่ตามสัดส่วนและรับประทานครั้งเดียวหมด</t>
  </si>
  <si>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</si>
  <si>
    <t>ข้อ 67 Pharma Plus เล่มม่วง (เฉลยข้อ จ)</t>
  </si>
  <si>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</si>
  <si>
    <t>ท้องผูกเป็นประจำ</t>
  </si>
  <si>
    <t>ดื่มสุรามากเกินไป</t>
  </si>
  <si>
    <t>รับประทานอาหารที่มีรสเผ็ดร้อนจัดเกินไป</t>
  </si>
  <si>
    <t>ติดเชื้อไวรัสตับอักเสบ A</t>
  </si>
  <si>
    <t>โรคบิดหรือโรคลาไส้ซึ่งถ่ายอุจจาระบ่อย ๆ</t>
  </si>
  <si>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[NEED_REVIEW]
📌 จุดจำก่อนสอบ:
Antacids: ออกฤทธิ์เร็วแต่สั้น; Al(OH)3 = ท้องผูก; Mg(OH)2 = ท้องเสีย; ห้ามใน renal failure</t>
  </si>
  <si>
    <t>ข้อ 68 Pharma Plus เล่มม่วง (เฉลยข้อ ค ง)</t>
  </si>
  <si>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</si>
  <si>
    <t>ดื่มน้ำมาก ๆ วันละ 6-8 แก้ว</t>
  </si>
  <si>
    <t>รับประทานข้าวกล้อง และผลไม้</t>
  </si>
  <si>
    <t>ฝึกถ่ายอุจจาระให้เป็นประจำ</t>
  </si>
  <si>
    <t>ออกกำลังกายด้วยการปั่นจักรยานและยกน้ำหนัก</t>
  </si>
  <si>
    <t>ไม่ดื่มชา กาแฟ</t>
  </si>
  <si>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[NEED_REVIEW]
📌 จุดจำก่อนสอบ:
Misoprostol ป้องกัน NSAID ulcer แต่ห้ามในตั้งครรภ์; PPI ก็ป้องกันได้และ tolerability ดีกว่า</t>
  </si>
  <si>
    <t>ข้อ 69 Pharma Plus เล่มม่วง (เฉลยข้อ ง)</t>
  </si>
  <si>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</si>
  <si>
    <t>ให้การรักษาโดยใช้ยาเหน็บริดสีดวงทวาร</t>
  </si>
  <si>
    <t>ให้ยาระบายชนิดเพิ่มกากอาหาร</t>
  </si>
  <si>
    <t>ให้ยาเพิ่มความแข็งแรงของหลอดเลือด</t>
  </si>
  <si>
    <t>ให้ paracetamol เพื่อลดการอักเสบ</t>
  </si>
  <si>
    <t>นั่งแช่น้ำอุ่นที่ผสมด่างทับทิม 15-30 นาที วันละ 2-3 ครั้ง</t>
  </si>
  <si>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[NEED_REVIEW]
📌 จุดจำก่อนสอบ:
H2-blocker: Ranitidine (ถูกถอนจากตลาดเพราะ NDMA), ใช้ Famotidine แทน; Cimetidine มี drug interactions มาก</t>
  </si>
  <si>
    <t>ข้อ 70 Pharma Plus เล่มม่วง (เฉลยข้อ ง)</t>
  </si>
  <si>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</si>
  <si>
    <t>ก่อนเหน็บยาต้องให้อุณหภูมิยาเหน็บเท่ากับอุณหภูมิของร่างกาย</t>
  </si>
  <si>
    <t>ก่อนแกะยาออกจากห่อ ควรล้างมือให้สะอาด</t>
  </si>
  <si>
    <t>การสอดยาเหน็บ ต้องนอนตะแคงเหยียดขาที่อยู่ด้านล่างออกและงอขาที่อยู่ด้านบนชิดหน้าอก</t>
  </si>
  <si>
    <t>การสอดยาเหน็บ ต้องค่อยๆใช้นิ้วดันให้ยาเข้าไปลึกที่สุด</t>
  </si>
  <si>
    <t>เมื่อสอดยาเหน็บแล้วต้องนอนในท่าเดิมต่อ 15 นาที เพื่อให้ยาละลายหมด</t>
  </si>
  <si>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</si>
  <si>
    <t>ข้อ 71 Pharma Plus เล่มม่วง (เฉลยข้อ ง)</t>
  </si>
  <si>
    <t>ข้อใดคือกลไกการออกฤทธิ์ของยา diosmin</t>
  </si>
  <si>
    <t>Increase venous tone</t>
  </si>
  <si>
    <t>Decrease venous return</t>
  </si>
  <si>
    <t>Decrease vasoconstriction</t>
  </si>
  <si>
    <t>Increase lymphatic drainage</t>
  </si>
  <si>
    <t>Decrease hyperpermeability capillary</t>
  </si>
  <si>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</si>
  <si>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72 Pharma Plus เล่มม่วง (เฉลยข้อ ก)</t>
  </si>
  <si>
    <t>ข้อใดไม่ใช่อาการข้างเคียงของยา ferrous fumarate</t>
  </si>
  <si>
    <t>Gl disturbance</t>
  </si>
  <si>
    <t>Dark urine</t>
  </si>
  <si>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</si>
  <si>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73 Pharma Plus เล่มม่วง (เฉลยข้อ ข)</t>
  </si>
  <si>
    <t>ถ่าท่านเป็นเภสัชกรท่านจะแนะนำสมุนไพรใดให้ผู้ป่วย</t>
  </si>
  <si>
    <t>มะขามแขก</t>
  </si>
  <si>
    <t>เพชรสังฆาต</t>
  </si>
  <si>
    <t>น้ำมันละหุ่ง</t>
  </si>
  <si>
    <t>มะรุม</t>
  </si>
  <si>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</si>
  <si>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74 Pharma Plus เล่มม่วง (เฉลยข้อ ข)</t>
  </si>
  <si>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</si>
  <si>
    <t>Ondansetron และ Levofloxacin ทำปฏิกิริยากัน เกิดการแย่งจับกับโปรตีนในพลาสมาอย่างรุนแรง</t>
  </si>
  <si>
    <t>Activated Charcoal เข้าจับและดูดซับ Levofloxacin ในระบบทางเดินอาหาร ส่งผลให้ระดับยาในเลือดของ Levofloxacin ลดลงอย่างมีนัยสำคัญ</t>
  </si>
  <si>
    <t>ORS ทำให้ความเป็นกรดในกระเพาะอาหารลดลง ส่งผลให้ Levofloxacin ไม่สามารถละลายตัวและดูดซึมได้</t>
  </si>
  <si>
    <t>Activated Charcoal เร่งการขจัดยา Levofloxacin ออกทางปัสสาวะผ่านกระบวนการ active secretion</t>
  </si>
  <si>
    <t>Ondansetron ลดการบีบตัวของกระเพาะอาหาร ทำให้ Levofloxacin ค้างอยู่ในกระเพาะนานจนยาเสื่อมสภาพ</t>
  </si>
  <si>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</si>
  <si>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ข้อ 1.1 Mock GI RxCU84</t>
  </si>
  <si>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</si>
  <si>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</si>
  <si>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</si>
  <si>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</si>
  <si>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</si>
  <si>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</si>
  <si>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</si>
  <si>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ข้อ 1.2 Mock GI RxCU84</t>
  </si>
  <si>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</si>
  <si>
    <t>Levofloxacin และ ORS</t>
  </si>
  <si>
    <t>Ondansetron และ Activated Charcoal</t>
  </si>
  <si>
    <t>Levofloxacin และ Ondansetron</t>
  </si>
  <si>
    <t>Activated Charcoal และ ORS</t>
  </si>
  <si>
    <t>Levofloxacin และ Activated Charcoal</t>
  </si>
  <si>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</si>
  <si>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ข้อ 1.3 Mock GI RxCU84</t>
  </si>
  <si>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</si>
  <si>
    <t>เปลี่ยน Levofloxacin เป็น Norfloxacin 400 mg รับประทานวันละ 2 ครั้ง นาน 3 วัน</t>
  </si>
  <si>
    <t>เปลี่ยน Levofloxacin เป็น Azithromycin 1,000 mg รับประทานครั้งเดียว หรือ 500 mg วันละครั้ง นาน 3 วัน</t>
  </si>
  <si>
    <t>เปลี่ยน Levofloxacin เป็น Doxycycline 100 mg รับประทานวันละ 2 ครั้ง นาน 3 วัน</t>
  </si>
  <si>
    <t>คงการใช้ Levofloxacin ไว้ตามเดิม เนื่องจากยามีความปลอดภัยสูงในหญิงตั้งครรภ์ทุกไตรมาส</t>
  </si>
  <si>
    <t>เปลี่ยน Levofloxacin เป็น Ciprofloxacin 500 mg รับประทานวันละ 2 ครั้ง นาน 3 วัน</t>
  </si>
  <si>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</si>
  <si>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ข้อ 1.4 Mock GI RxCU84</t>
  </si>
  <si>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</si>
  <si>
    <t>เหมาะสม เนื่องจากผู้ป่วยถ่ายบ่อยถึง 6 ครั้ง บ่งชี้ว่าร่างกายได้รับการติดเชื้อแบคทีเรียรุนแรง</t>
  </si>
  <si>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</si>
  <si>
    <t>เหมาะสม แต่ควรเปลี่ยนเป็นกลุ่ม Fluoroquinolones เช่น Norfloxacin เนื่องจากมีสเปกตรัมแคบกว่า</t>
  </si>
  <si>
    <t>เหมาะสม เนื่องจากยา Amoxicillin/Clavulanate ช่วยลดการหลั่งสารน้ำในเยื่อบุลำไส้ได้ดี</t>
  </si>
  <si>
    <t>ไม่เหมาะสม เนื่องจากยา Amoxicillin/Clavulanate สามารถผ่านรกไปทำอันตรายต่อทารกในครรภ์ได้อย่างรุนแรง (FDA Category X)</t>
  </si>
  <si>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</si>
  <si>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2.1 Mock GI RxCU84</t>
  </si>
  <si>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</si>
  <si>
    <t>ตัวยา Clavulanate จะเร่งกระบวนการทำลายเยื่อบุกระเพาะอาหารโดยตรง เกิดแผลในกระเพาะอาหารฉับพลัน</t>
  </si>
  <si>
    <t>ยาจะทำให้เกิดการยับยั้งการหลั่งน้ำย่อยจากตับอ่อน ส่งผลให้มีไขมันปนในอุจจาระเพิ่มขึ้น</t>
  </si>
  <si>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</si>
  <si>
    <t>ยาปฏิชีวนะจะทำให้ทางเดินอาหารแห้งตัวและเกิดอาการท้องผูกสลับท้องเสียอย่างรุนแรง</t>
  </si>
  <si>
    <t>ตัวยา Amoxicillin จะออกฤทธิ์ขัดขวางการดูดซึมโซเดียมและน้ำกลับที่ไตโดยตรง</t>
  </si>
  <si>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</si>
  <si>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2.2 Mock GI RxCU84</t>
  </si>
  <si>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</si>
  <si>
    <t>Loperamide 2 mg</t>
  </si>
  <si>
    <t>Ibuprofen 400 mg</t>
  </si>
  <si>
    <t>Hyoscine butylbromide 10 mg</t>
  </si>
  <si>
    <t>Omeprazole 20 mg</t>
  </si>
  <si>
    <t>Activated Charcoal 250 mg</t>
  </si>
  <si>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</si>
  <si>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2.3 Mock GI RxCU84</t>
  </si>
  <si>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</si>
  <si>
    <t>ห้ามใช้ในผู้ป่วยที่มีอาการปวดท้องน้อยหรือมีอาการคลื่นไส้อาเจียนร่วมด้วย</t>
  </si>
  <si>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</si>
  <si>
    <t>ห้ามใช้ร่วมกับผงน้ำตาลเกลือแร่ (ORS) ทุกกรณีเนื่องจากจะลดประสิทธิภาพการทำงานของยา</t>
  </si>
  <si>
    <t>ห้ามใช้ในผู้ป่วยที่ดื่มน้ำได้น้อยเนื่องจากยาจะกระตุ้นการขับปัสสาวะอย่างรุนแรง</t>
  </si>
  <si>
    <t>ห้ามใช้ในคนไข้ที่มีอายุมากกว่า 18 ปี เนื่องจากยามีความปลอดภัยเฉพาะในวัยเด็กเล็กเท่านั้น</t>
  </si>
  <si>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</si>
  <si>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2.4 Mock GI RxCU84</t>
  </si>
  <si>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</si>
  <si>
    <t>ความเครียดทำให้เกิดภาวะเลือดเป็นกรด ส่งผลกระตุ้นหลอดอาหารอักเสบโดยตรง</t>
  </si>
  <si>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</si>
  <si>
    <t>การดื่มกาแฟปริมาณมากทำให้อาหารค้างอยู่ในกระเพาะนานขึ้น (Delayed gastric emptying)</t>
  </si>
  <si>
    <t>การทำงานหนักจนดึกขัดขวางการทำงานของระบบประสาท Sympathetic ทำให้หูรูดปิดแน่นเกินไป</t>
  </si>
  <si>
    <t>ความเครียดทำให้ร่างกายผลิตเมือกในกระเพาะอาหารน้อยลง ส่งผลให้เยื่อบุหลอดอาหารฉีกขาดง่าย</t>
  </si>
  <si>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</si>
  <si>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3.1 Mock GI RxCU84</t>
  </si>
  <si>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</si>
  <si>
    <t>อาการแสบร้อนกลางอกเป็นมากขึ้นเมื่อนอนราบ</t>
  </si>
  <si>
    <t>อาการเรอเปรี้ยวหรือขมคอหลังรับประทานอาหารมื้อใหญ่</t>
  </si>
  <si>
    <t>มีอาการกลืนลำบาก (Dysphagia) กลืนเจ็บ (Odynophagia) น้ำหนักลดผิดปกติ หรืออุจจาระมีสีดำคล้ำ (Melena)</t>
  </si>
  <si>
    <t>อาการท้องอืด ท้องเฟ้อหลังรับประทานอาหารรสจัด</t>
  </si>
  <si>
    <t>อาการแสบร้อนกลางอกสลับกับอาการปวดเกร็งหน้าท้องด้านล่าง</t>
  </si>
  <si>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</si>
  <si>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3.2 Mock GI RxCU84</t>
  </si>
  <si>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</si>
  <si>
    <t>Omeprazole 20 mg ครั้งละ 1 เม็ด วันละครั้ง หลังอาหารเช้าทันที นาน 1 สัปดาห์</t>
  </si>
  <si>
    <t>Omeprazole 20 mg ครั้งละ 1 เม็ด วันละครั้ง ก่อนอาหารเช้า 30-60 นาที ต่อเนื่องกัน 4-8 สัปดาห์</t>
  </si>
  <si>
    <t>Omeprazole 20 mg ครั้งละ 1 เม็ด วันละ 2 ครั้ง หลังอาหารเช้าและเย็น นาน 3 วัน</t>
  </si>
  <si>
    <t>Omeprazole 20 mg ครั้งละ 1 เม็ด รับประทานเฉพาะเวลามีอาการแสบร้อนกลางอก (PRN) โดยเคี้ยวยาให้ละเอียด</t>
  </si>
  <si>
    <t>Rabeprazole 20 mg ครั้งละ 1 เม็ด วันละครั้ง ก่อนนอน นาน 1 สัปดาห์</t>
  </si>
  <si>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</si>
  <si>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3.3 Mock GI RxCU84</t>
  </si>
  <si>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</si>
  <si>
    <t>แนะนำให้นอนราบทันทีหลังรับประทานอาหารเสร็จ เพื่อช่วยให้ระบบทางเดินอาหารผ่อนคลายและลดอาการเวียนศีรษะ</t>
  </si>
  <si>
    <t>ควรดื่มนมช็อกโกแลตหรือเครื่องดื่มผสมแอลกอฮอล์หลังอาหารเย็น เพื่อช่วยเคลือบแผลในหลอดอาหาร</t>
  </si>
  <si>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</si>
  <si>
    <t>แนะนำให้ออกกำลังกายอย่างหนักทันทีหลังมื้ออาหารเย็น เพื่อช่วยให้กระเพาะอาหารบีบตัวไล่แก๊สได้เร็วขึ้น</t>
  </si>
  <si>
    <t>แนะนำให้ดื่มน้ำเย็นปริมาณมากๆ ในระหว่างมื้ออาหาร เพื่อช่วยเจือจางกรดในกระเพาะอาหารไม่ให้ย้อนขึ้นไป</t>
  </si>
  <si>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</si>
  <si>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3.4 Mock GI RxCU84</t>
  </si>
  <si>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</si>
  <si>
    <t>Proton pump inhibitors (เช่น Omeprazole)</t>
  </si>
  <si>
    <t>Calcium channel blockers (เช่น Amlodipine)</t>
  </si>
  <si>
    <t>Prokinetics (เช่น Domperidone)</t>
  </si>
  <si>
    <t>H2-receptor antagonists (เช่น Famotidine)</t>
  </si>
  <si>
    <t>Mucosal protectants (เช่น Sucralfate)</t>
  </si>
  <si>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</si>
  <si>
    <t>ข้อ 3.5 Mock GI RxCU84</t>
  </si>
  <si>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</si>
  <si>
    <t>ทำให้ Pitavastatin หมดฤทธิ์</t>
  </si>
  <si>
    <t>ลดการดูดซึม Dolutegravir</t>
  </si>
  <si>
    <t>ทำให้ TDF เป็นพิษ</t>
  </si>
  <si>
    <t>เพิ่มระดับ 3TC</t>
  </si>
  <si>
    <t>ลดการขับออกของ Dolutegravir ทางไต</t>
  </si>
  <si>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</si>
  <si>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ข้อ 4.1 Mock GI RxCU84</t>
  </si>
  <si>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</si>
  <si>
    <t>ให้รับประทานยาลดกรดและ Dolutegravir ร่วมกันพร้อมอาหารมื้อหลักทันทีเพื่อลดความเป็นกรดในกระเพาะ</t>
  </si>
  <si>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</si>
  <si>
    <t>ให้รับประทานยา Dolutegravir ในขนาดยาเพิ่มขึ้นเป็น 2 เท่าเฉพาะในวันที่ต้องใช้ยาลดกรด</t>
  </si>
  <si>
    <t>แนะนำให้เคี้ยวเม็ดยาลดกรดร่วมกับยาต้านไวรัสก่อนนอน เพื่อส่งเสริมการดูดซึมยาต้านไวรัส</t>
  </si>
  <si>
    <t>ให้ผู้ป่วยหยุดรับประทานยาต้านไวรัส Dolutegravir ไปก่อนชั่วคราวในระหว่างที่มีอาการของโรคกรดไหลย้อน</t>
  </si>
  <si>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</si>
  <si>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ข้อ 4.2 Mock GI RxCU84</t>
  </si>
  <si>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</si>
  <si>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</si>
  <si>
    <t>ห้ามใช้ Omeprazole ร่วมกับ Dolutegravir เด็ดขาด เนื่องจากยาลดการทำงานของเอนไซม์ที่ใช้กำจัด Dolutegravir</t>
  </si>
  <si>
    <t>Omeprazole จะลดการดูดซึมของ Tenofovir (TDF) จนหมดสิ้น ทำให้ระดับยาต้านไวรัสไม่เพียงพอต่อการกดเชื้อ</t>
  </si>
  <si>
    <t>ยาปฏิชีวนะหรือยาต้านไวรัส 3TC จะเกิดการเสื่อมสภาพทันทีหาก pH ในกระเพาะอาหารเพิ่มขึ้นมากกว่า 5.0</t>
  </si>
  <si>
    <t>Omeprazole จะเพิ่มความเสี่ยงต่อการเกิดภาวะ Lactic acidosis จากยาต้านไวรัสกลุ่ม NRTIs</t>
  </si>
  <si>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</si>
  <si>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4.3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</si>
  <si>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</si>
  <si>
    <t>ยาระคายเคืองกระเพาะโดยตรง (Direct irritation) และยับยั้งเอนไซม์ COX-2 ทำให้ร่างกายสร้างกรดมากขึ้น</t>
  </si>
  <si>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</si>
  <si>
    <t>ยาไปกระตุ้นการทำงานของ parietal cells ในการหลั่งกรดไฮโดรคลอริก ผ่านทางกระบวนการกระตุ้น Histamine-2 receptors</t>
  </si>
  <si>
    <t>ยาปฏิชีวนะหรือยาแก้ปวด Diclofenac ทำให้เกิดภาวะติดเชื้อแบคทีเรีย H. pylori ในกระเพาะอาหารได้ง่ายขึ้น</t>
  </si>
  <si>
    <t>ยาไปเพิ่มการบีบตัวของกระเพาะอาหารอย่างรุนแรง ส่งผลให้กรดเข้มข้นไหลย้อนกลับทำลายเนื้อเยื่อ</t>
  </si>
  <si>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</si>
  <si>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5.1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</si>
  <si>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</si>
  <si>
    <t>แนะนำให้เปลี่ยนจาก Diclofenac เป็น Naproxen 250 mg รับประทานวันละ 2 ครั้ง ทันที</t>
  </si>
  <si>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</si>
  <si>
    <t>แนะนำให้เพิ่มขนาดการรับประทาน Tolperisone เป็น 150 mg วันละ 3 ครั้ง และคงการทาน Diclofenac ร่วมด้วย</t>
  </si>
  <si>
    <t>แนะนำให้รับประทาน Diclofenac ห่างจากเครื่องดื่มแอลกอฮอล์อย่างน้อย 8 ชั่วโมง โดยใช้ยาสูตรเดิมต่อไป</t>
  </si>
  <si>
    <t>แนะนำให้ใช้ยาแก้ปวดกลุ่มสเตียรอยด์ (Steroids) ชนิดรับประทานทดแทนเพื่อความปลอดภัยต่อกระเพาะอาหาร</t>
  </si>
  <si>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</si>
  <si>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5.2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</si>
  <si>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</si>
  <si>
    <t>ออกฤทธิ์จับตัวรับ H2 อาการข้างเคียงคือทำให้เกิดผื่นแพ้แสง; ห้ามใช้ในคนไข้โรคหัวใจล้มเหลว</t>
  </si>
  <si>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</si>
  <si>
    <t>ออกฤทธิ์บลอค Proton pump; อาการข้างเคียงคืออาการปวดศีรษะ; ห้ามใช้ในผู้ป่วยโรคตับแข็ง</t>
  </si>
  <si>
    <t>เป็นสารเคลือบแผลกระเพาะอาหาร; อาการข้างเคียงคือทำให้อุจจาระสีดำเข้ม; ห้ามใช้ในคนไข้ที่เป็นโรคไตวาย</t>
  </si>
  <si>
    <t>เป็นยากระตุ้นการหลั่งเอนไซม์ amylase; อาการข้างเคียงคือน้ำตาลในเลือดต่ำ; ห้ามใช้ร่วมกับอินซูลิน</t>
  </si>
  <si>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</si>
  <si>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5.3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</si>
  <si>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</si>
  <si>
    <t>อาการปวดแสบบริเวณหน้าอกลามไปถึงไหล่ซ้าย</t>
  </si>
  <si>
    <t>อาการคลื่นไส้อาเจียนปนเลือด หรือถ่ายอุจจาระเป็นสีดำเหนียวคล้ายยางมะตอย (Melena) บ่งชี้ภาวะเลือดออกในทางเดินอาหาร</t>
  </si>
  <si>
    <t>อาการแสบร้อนที่ผิวหนังบริเวณที่ปวดกล้ามเนื้อ</t>
  </si>
  <si>
    <t>อาการอ่อนเพลียเล็กน้อยหลังจากทำงานเกษตรกลางแดดจัด</t>
  </si>
  <si>
    <t>อาการท้องอืด ท้องเฟ้อ มีลมในกระเพาะอาหารหลังตื่นนอนตอนเช้า</t>
  </si>
  <si>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</si>
  <si>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5.4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</si>
  <si>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</si>
  <si>
    <t>5-HT3 antagonist</t>
  </si>
  <si>
    <t>Antihistamine / Anticholinergic</t>
  </si>
  <si>
    <t>Dopamine D2 antagonist</t>
  </si>
  <si>
    <t>Benzodiazepines (Anticipatory emesis)</t>
  </si>
  <si>
    <t>Neurokinin-1 (NK1) receptor antagonist</t>
  </si>
  <si>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</si>
  <si>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5.5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</si>
  <si>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</si>
  <si>
    <t>Domperidone ออกฤทธิ์ที่ 5-HT3 receptor จึงไม่มีผลต่อ CNS</t>
  </si>
  <si>
    <t>Domperidone ผ่าน blood-brain barrier (BBB) ได้น้อยกว่า Metoclopramide จึงมีโอกาสเกิด extrapyramidal symptoms (EPS) และผลข้างเคียงทาง CNS น้อยกว่า</t>
  </si>
  <si>
    <t>Domperidone ไม่มีผลต่อระดับ prolactin เลย</t>
  </si>
  <si>
    <t>Metoclopramide ไม่ผ่าน BBB จึงปลอดภัยกว่าในการใช้ระยะยาว</t>
  </si>
  <si>
    <t>ทั้งสองตัวมี safety profile เหมือนกันทุกประการ</t>
  </si>
  <si>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</si>
  <si>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5.6 Mock GI RxCU84</t>
  </si>
  <si>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</si>
  <si>
    <t>ควรรับประทานพร้อมอาหารที่มีไขมันสูงเพื่อเพิ่มการดูดซึม</t>
  </si>
  <si>
    <t>ไม่ควรใช้ติดต่อกันนานเกิน 12 สัปดาห์ เนื่องจากเพิ่มความเสี่ยง tardive dyskinesia ซึ่งอาจเป็นแบบถาวร</t>
  </si>
  <si>
    <t>สามารถใช้ร่วมกับแอลกอฮอล์ได้อย่างปลอดภัยโดยไม่มีผลเสริมฤทธิ์กดประสาท</t>
  </si>
  <si>
    <t>ไม่มีผลต่อระบบประสาทส่วนกลางจึงใช้ในผู้ป่วย Parkinson’s disease ได้อย่างปลอดภัย</t>
  </si>
  <si>
    <t>ไม่จำเป็นต้องปรับขนาดยาในผู้ป่วยที่มีการทำงานของไตบกพร่อง</t>
  </si>
  <si>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</si>
  <si>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5.7 Mock GI RxCU84</t>
  </si>
  <si>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</si>
  <si>
    <t>Low emetogenic potential (โอกาสเกิดอาการร้อยละ 10–30)</t>
  </si>
  <si>
    <t>Moderate emetogenic potential (โอกาสเกิดอาการร้อยละ 30–90)</t>
  </si>
  <si>
    <t>High emetogenic potential</t>
  </si>
  <si>
    <t>Minimal emetogenic potential</t>
  </si>
  <si>
    <t>Sub-therapeutic emetogenic potential (ไม่มีผลต่อการกระตุ้นอาการอาเจียน)</t>
  </si>
  <si>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</si>
  <si>
    <t>ข้อ 6.1 Mock GI RxCU84</t>
  </si>
  <si>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</si>
  <si>
    <t>เหมาะสม เนื่องจาก Ondansetron เป็นยากลุ่ม 5-HT3 antagonist ที่มีประสิทธิภาพสูงสุดครอบคลุมทั้งระยะเฉียบพลันและระยะช้า</t>
  </si>
  <si>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</si>
  <si>
    <t>เหมาะสม แต่ควรเปลี่ยนช่องทางการบริหารยาเป็นชนิดเม็ดรับประทาน (Oral tablet) เพื่อผลการรักษาที่ดีกว่า</t>
  </si>
  <si>
    <t>ไม่เหมาะสม เนื่องจากควรใช้เฉพาะยาปฏิชีวนะและยาลดกรด Omeprazole ในการป้องกันอาการอาเจียนเท่านั้น</t>
  </si>
  <si>
    <t>เหมาะสม แต่ต้องบริหารยาร่วมกับสารน้ำทางหลอดเลือดดำปริมาณมากเพียงอย่างเดียวโดยไม่ต้องให้ยาอื่นเพิ่ม</t>
  </si>
  <si>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[NEED_REVIEW]
📌 จุดจำก่อนสอบ:
Domperidone + Antacid/PPI → ลดการดูดซึม Domperidone; ให้ Domperidone ก่อนอาหาร 15-30 นาที</t>
  </si>
  <si>
    <t>ข้อ 6.2 Mock GI RxCU84</t>
  </si>
  <si>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</si>
  <si>
    <t>อาการเริ่มแสดงหลังรับยา 1 ชั่วโมง; ยาที่มีบทบาทหลักคือยาชาเฉพาะที่ Lidocaine</t>
  </si>
  <si>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</si>
  <si>
    <t>อาการเริ่มแสดงในสัปดาห์ที่สามหลังให้ยา; ยาที่มีบทบาทหลักคือยากระตุ้นการบีบตัวของทางเดินอาหาร Domperidone</t>
  </si>
  <si>
    <t>อาการเริ่มแสดงในช่วงก่อนได้รับยาเคมีบำบัดรอบถัดไป; ยาที่มีบทบาทหลักคือยากลุ่ม Benzodiazepines เช่น Lorazepam</t>
  </si>
  <si>
    <t>อาการเริ่มแสดงทันทีหลังถอดสายน้ำเกลือเคมีบำบัด; ยาที่มีบทบาทหลักคือยาลดกรดชนิดน้ำ Antacid</t>
  </si>
  <si>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</si>
  <si>
    <t>ข้อ 6.5 Mock GI RxCU84</t>
  </si>
  <si>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</si>
  <si>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</si>
  <si>
    <t>ผู้สูงอายุไม่มีความเสี่ยงพิเศษใดๆ เพิ่มเติมจาก D2 antagonist</t>
  </si>
  <si>
    <t>ควรเพิ่มขนาด Metoclopramide เป็น 2 เท่าในผู้สูงอายุเพื่อผลการรักษาที่ดีขึ้น</t>
  </si>
  <si>
    <t>Metoclopramide ปลอดภัยกว่าในผู้สูงอายุเมื่อเทียบกับผู้ป่วยอายุน้อย</t>
  </si>
  <si>
    <t>ไม่จำเป็นต้องคำนึงถึงการทำงานของไตในการให้ Metoclopramide ในผู้สูงอายุ</t>
  </si>
  <si>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</si>
  <si>
    <t>ข้อ 6.6 Mock GI RxCU84</t>
  </si>
  <si>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</si>
  <si>
    <t>เป็น acute emesis เพิ่มขนาด 5-HT3 antagonist</t>
  </si>
  <si>
    <t>เป็น delayed emesis เพิ่ม NK-1 antagonist</t>
  </si>
  <si>
    <t>เป็น Anticipatory emesis พิจารณาให้ Benzodiazepine (เช่น Lorazepam)</t>
  </si>
  <si>
    <t>เป็นผลจาก motion sickness ระหว่างเดินทางมาโรงพยาบาล ให้ Dimenhydrinate</t>
  </si>
  <si>
    <t>ไม่ต้องรักษาเพราะเป็นอาการทางจิตใจที่ไม่เกี่ยวกับเภสัชวิทยา</t>
  </si>
  <si>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</si>
  <si>
    <t>ข้อ 6.7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</si>
  <si>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</si>
  <si>
    <t>Grade I</t>
  </si>
  <si>
    <t>Grade II</t>
  </si>
  <si>
    <t>Grade III</t>
  </si>
  <si>
    <t>Grade IV</t>
  </si>
  <si>
    <t>External hemorrhoid (ไม่ใช้ระบบ grade I–IV)</t>
  </si>
  <si>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</si>
  <si>
    <t>ข้อ 7.1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</si>
  <si>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</si>
  <si>
    <t>ส่งต่อทำ colonoscopy ทันทีทุกกรณีเพราะมีเลือดออก</t>
  </si>
  <si>
    <t>ประเมินแล้วไม่มี red flag ชัดเจน จึงเริ่มดูแลแบบ conservative ที่ร้านยาได้ พร้อมแนะนำสัญญาณอันตรายที่ต้องกลับมาพบแพทย์</t>
  </si>
  <si>
    <t>จ่ายยาปฏิชีวนะชนิดรับประทานเพื่อกันติดเชื้อ</t>
  </si>
  <si>
    <t>แนะนำผ่าตัดริดสีดวงทันที</t>
  </si>
  <si>
    <t>หยุดสังเกตอาการเองที่บ้านนาน 3 เดือน โดยไม่ให้คำแนะนำหรือ warning signs ใด ๆ</t>
  </si>
  <si>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</si>
  <si>
    <t>ข้อ 7.2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</si>
  <si>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</si>
  <si>
    <t>Rubber band ligation</t>
  </si>
  <si>
    <t>Topical hydrocortisone + lidocaine suppository</t>
  </si>
  <si>
    <t>Dietary &amp; behavioral modification (เพิ่มใยอาหาร + ดื่มน้ำ + ปรับพฤติกรรมขับถ่าย)</t>
  </si>
  <si>
    <t>Hemorrhoidectomy</t>
  </si>
  <si>
    <t>จ่ายยาปฏิชีวนะชนิดรับประทานเพื่อป้องกันการติดเชื้อ</t>
  </si>
  <si>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[NEED_REVIEW]
📌 จุดจำก่อนสอบ:
ยาเหน็บริดสีดวง = บรรเทาอาการชั่วคราว; ห้ามใช้ระยะยาวเพราะ steroid component</t>
  </si>
  <si>
    <t>ข้อ 7.3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</si>
  <si>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</si>
  <si>
    <t>Senna + แนะนำใช้เฉพาะเวลาปวด</t>
  </si>
  <si>
    <t>Psyllium (bulk-forming) + แนะนำดื่มน้ำตามให้พอ และใช้ต่อเนื่อง ≥ 6 สัปดาห์</t>
  </si>
  <si>
    <t>Bisacodyl + แนะนำใช้ก่อนนอนทุกคืนถาวร</t>
  </si>
  <si>
    <t>Glycerin suppository + แนะนำสวนทุกเช้า</t>
  </si>
  <si>
    <t>Lactulose + แนะนำใช้เฉพาะเมื่อมีอาการปวดเท่านั้น</t>
  </si>
  <si>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</si>
  <si>
    <t>ข้อ 7.4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</si>
  <si>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</si>
  <si>
    <t>1 เม็ด วันละครั้ง ต่อเนื่อง</t>
  </si>
  <si>
    <t>2 เม็ด/วัน ตลอด</t>
  </si>
  <si>
    <t>6 เม็ด/วัน นาน 4 วัน ตามด้วย 4 เม็ด/วัน อีก 3 วัน</t>
  </si>
  <si>
    <t>2 เม็ด วันละ 3 ครั้ง นาน 14 วัน</t>
  </si>
  <si>
    <t>3 เม็ด/วัน นาน 7 วัน แล้วหยุด</t>
  </si>
  <si>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</si>
  <si>
    <t>ข้อ 7.5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</si>
  <si>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</si>
  <si>
    <t>รักษาริดสีดวงให้หายขาดและป้องกันการเป็นซ้ำได้</t>
  </si>
  <si>
    <t>บรรเทาอาการปวด/คัน/บวม/ระคายเคืองได้ในระยะสั้นแต่ไม่มีผลต่อการหายของโรคหรือป้องกันการเป็นซ้ำ และควรใช้ระยะสั้น</t>
  </si>
  <si>
    <t>ใช้แทนการปรับอาหารได้ เพราะเป็น first-line</t>
  </si>
  <si>
    <t>ยิ่งใช้นานยิ่งดี ไม่มีผลข้างเคียง</t>
  </si>
  <si>
    <t>ใช้ได้เฉพาะเมื่อมีการติดเชื้อแบคทีเรียที่ทวารหนักเท่านั้น</t>
  </si>
  <si>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</si>
  <si>
    <t>ข้อ 7.6 Mock GI RxCU84</t>
  </si>
  <si>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</si>
  <si>
    <t>Ibuprofen เหมาะสม / หลีกเลี่ยง paracetamol</t>
  </si>
  <si>
    <t>Paracetamol เหมาะสม / หลีกเลี่ยง NSAIDs (เช่น ibuprofen, diclofenac) และ aspirin</t>
  </si>
  <si>
    <t>Aspirin เหมาะสม / หลีกเลี่ยง psyllium</t>
  </si>
  <si>
    <t>Naproxen เหมาะสม / หลีกเลี่ยง sitz bath</t>
  </si>
  <si>
    <t>Tramadol เป็นทางเลือกแรก / หลีกเลี่ยง paracetamol และ sitz bath</t>
  </si>
  <si>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</si>
  <si>
    <t>ข้อ 7.7 Mock GI RxCU84</t>
  </si>
  <si>
    <t>ข้อใดไม่ใช่ปัจจัยที่นำไปสู่การเกิด peptic ulcer disease ในผู้ป่วยรายนี้ ตามแนวเวชปฏิบัติ dyspepsia ไทย 2561</t>
  </si>
  <si>
    <t>ใช้ naproxen เป็นเวลานาน</t>
  </si>
  <si>
    <t>สูงอายุ</t>
  </si>
  <si>
    <t>ใช้ aspirin เป็นเวลานาน</t>
  </si>
  <si>
    <t>ติดเชื้อ H. pylori</t>
  </si>
  <si>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</si>
  <si>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PLE_CC1_2567_Key ข้อ 8</t>
  </si>
  <si>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</si>
  <si>
    <t>Cellulose acetate</t>
  </si>
  <si>
    <t>Phthalate</t>
  </si>
  <si>
    <t>Shellac</t>
  </si>
  <si>
    <t>ethyl cellulose</t>
  </si>
  <si>
    <t>PVA สารไมละลายน ทใหยาปลดปลอยชา for extended release สารไมละลายน ทใหยาปลดปลอยชา for extended release สารละลายน immediate release PLE-PC1 Preparation 2567</t>
  </si>
  <si>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</si>
  <si>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PLE_CC1_2567_Key ข้อ 91</t>
  </si>
  <si>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</si>
  <si>
    <t>Peptic Ulcer / GERD</t>
  </si>
  <si>
    <t>Metoclopramide 10 mg TID before meals</t>
  </si>
  <si>
    <t>Esomeprazole 20 mg OD</t>
  </si>
  <si>
    <t>Domperidone 10 mg TID</t>
  </si>
  <si>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</si>
  <si>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PLE_CC1_2567_Key ข้อ 99</t>
  </si>
  <si>
    <t>Dolutegravir</t>
  </si>
  <si>
    <t>Lopinavir/Ritonavir</t>
  </si>
  <si>
    <t>Etravirine</t>
  </si>
  <si>
    <t>Emtricitabine</t>
  </si>
  <si>
    <t>Enfuvirtide (INSTI)</t>
  </si>
  <si>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</si>
  <si>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</si>
  <si>
    <t>PVA สารไQละลาย( ,ใXยาปลดปYอยZา for extended release สารไQละลาย( ,ใXยาปลดปYอยZา for extended release สารละลาย( immediate release PLE-PC1 Preparation 2567 PLE-PC1 Preparation 2567 ✅</t>
  </si>
  <si>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</si>
  <si>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PLE_CC1_2567_Set1_Key ข้อ 91</t>
  </si>
  <si>
    <t>ใช้Nicotin gum แล้วรู้สึก… (อาการคล้ายๆพวกGERD) จะ แนะนำอย่างไร ตัวเลือก</t>
  </si>
  <si>
    <t>Amoxicillin 1000 mg BID</t>
  </si>
  <si>
    <t>Clarithromycin 500 mg BID</t>
  </si>
  <si>
    <t>Hyoscine butylbromide 10 mg TID</t>
  </si>
  <si>
    <t>Aluminium hydroxide/Magnesium hydroxide suspension</t>
  </si>
  <si>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</si>
  <si>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PLE-CC1 ปี 2566 Day 1 ข้อ 47</t>
  </si>
  <si>
    <t>อาการที่บ่งบอกว่าเป็นGERD แน่ ตัวเลือก</t>
  </si>
  <si>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</si>
  <si>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PLE-CC1 ปี 2566 Day 1 ข้อ 51</t>
  </si>
  <si>
    <t>Dyspepsia ให้ยาอะไร ตัวเลือก</t>
  </si>
  <si>
    <t>Dimenhydrinate 50 mg TID</t>
  </si>
  <si>
    <t>Loperamide 2 mg PRN</t>
  </si>
  <si>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</si>
  <si>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PLE-CC1 ปี 2566 Day 1 ข้อ 53</t>
  </si>
  <si>
    <t>receptor ที่เกี่ยวข้องโดยตรงกับการคลื่นไส้อาเจียน. ตัวเลือก</t>
  </si>
  <si>
    <t>5-HT3 receptor (Serotonin receptor type 3)</t>
  </si>
  <si>
    <t>D2 receptor (Dopamine D2)</t>
  </si>
  <si>
    <t>NK1 receptor (Neurokinin-1)</t>
  </si>
  <si>
    <t>H1 receptor (Histamine H1)</t>
  </si>
  <si>
    <t>M1 receptor (Muscarinic M1)</t>
  </si>
  <si>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[NEED_REVIEW]
📌 จุดจำก่อนสอบ:
CTZ: D2 + 5-HT3 + NK1; VC: NK1 + H1 + M1; GI: 5-HT3 + D2; Vestibular: H1 + M1</t>
  </si>
  <si>
    <t>PLE-CC1 ปี 2566 Day 2 ข้อ 4</t>
  </si>
  <si>
    <t>ยาต้านอาเจียนที่ทำให้เกิดQT prolongation ตัวเลือก</t>
  </si>
  <si>
    <t>Ondansetron (ขนาดสูง IV)</t>
  </si>
  <si>
    <t>Droperidol</t>
  </si>
  <si>
    <t>Promethazine</t>
  </si>
  <si>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[NEED_REVIEW]
📌 จุดจำก่อนสอบ:
Domperidone = QT prolongation (EMA warning); ขนาดสูงสุด 10 mg TID; ห้ามใช้ใน QTc ยาว/cardiac disease</t>
  </si>
  <si>
    <t>PLE-CC1 ปี 2566 Day 2 ข้อ 63</t>
  </si>
  <si>
    <t>ยาต้านอาเจียนที่เป็นมาตรฐาน ที่จะบริหารก่อนการให้ยาเคมียำบัด ตัวเลือก</t>
  </si>
  <si>
    <t>Ondansetron 8 mg IV 30 นาทีก่อนให้เคมีบำบัด</t>
  </si>
  <si>
    <t>Hyoscine butylbromide 10 mg ก่อนให้เคมีบำบัด</t>
  </si>
  <si>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</si>
  <si>
    <t>PLE-CC1 ปี 2566 Day 2 ข้อ 93</t>
  </si>
  <si>
    <t>Gastroesophageal reflux disease (GERD)</t>
  </si>
  <si>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</si>
  <si>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“แผ-นพับยาแสดงอาการข$างเคียงของยาดังนี้ salivation, urinary incontinence, sweating, diarrhea, Tremor” จากข$อความดังกล-าว หมายถึงยาใด</t>
  </si>
  <si>
    <t>Timolol eye drop</t>
  </si>
  <si>
    <t>Diclofenac eye drop</t>
  </si>
  <si>
    <t>Pilocarpine eye drop</t>
  </si>
  <si>
    <t>Brinzolamide eye drop</t>
  </si>
  <si>
    <t>Chloramphenicol eye ointment</t>
  </si>
  <si>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[NEED_REVIEW]
📌 จุดจำก่อนสอบ:
Pilocarpine = Cholinergic agonist → SLUDGE; ใช้รักษา Glaucoma (miotics); Timolol = Beta-blocker</t>
  </si>
  <si>
    <t>PLE_CC1_2565_Day2_Key ข้อ 41</t>
  </si>
  <si>
    <t>ยาต$านอาเจียนในข$อใดที่สามารถกินกับยายับยั้งการกลั่งกรดได$</t>
  </si>
  <si>
    <t>Metoclopramide สามารถรับประทานร่วมกับ antacids หรือยาลดกรดได้</t>
  </si>
  <si>
    <t>Domperidone ไม่ควรใช้ร่วมกับ antacids หรือยายับยั้งการหลั่งกรด เพราะลดการดูดซึมยา</t>
  </si>
  <si>
    <t>Lactulose 15 mL OD</t>
  </si>
  <si>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[NEED_REVIEW]
📌 จุดจำก่อนสอบ:
Domperidone + Antacid/PPI → ดูดซึม Domperidone ลด; ให้ก่อนอาหาร 15-30 นาที</t>
  </si>
  <si>
    <t>PLE_CC1_2565_Day2_Key ข้อ 52</t>
  </si>
  <si>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</si>
  <si>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</si>
  <si>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PLE_CC1_2564_All_Key ข้อ 43</t>
  </si>
  <si>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</si>
  <si>
    <t>PLE_CC1_2564_All_Key ข้อ 106</t>
  </si>
  <si>
    <t>สาเหตุขอษน้ำหนักขึ้นและคลื่นไส้อาเสียนเกิดสากอะไร</t>
  </si>
  <si>
    <t>Androgenic effect สาก levonorgestrel</t>
  </si>
  <si>
    <t>Estrogenic effect สาก ethinyl estradiol</t>
  </si>
  <si>
    <t>Androgenic effect และ estrogenic effect จาก levonorgestrel และ ethinyl estradiol ร่วมกัน</t>
  </si>
  <si>
    <t>Senna 2 tabs HS</t>
  </si>
  <si>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[NEED_REVIEW]
📌 จุดจำก่อนสอบ:
Estrogenic: คลื่นไส้ น้ำหนักขึ้น (water) เต้านมคัด; Progestogenic/Androgenic: สิว ขนดก ซึมเศร้า</t>
  </si>
  <si>
    <t>PLE_CC1_2563_Q ข้อ 70</t>
  </si>
  <si>
    <t>ยา PPIs ตัวใดไม่แนะนำให้ใช้ในคนท้องจนถึงคลอด ~ - X L -</t>
  </si>
  <si>
    <t>Esomeprazole</t>
  </si>
  <si>
    <t>Pantoprazole</t>
  </si>
  <si>
    <t>Rabeprazole + ATPase O Omeprazole E Lansoprazde B Rabeprazole B X Pantoprazole B Esomeprazole B หË´มนาÆปทาซËาทืกกรณิ ÂวËนาต้จ²ÆดËรงบ¯นืญ´ต ~</t>
  </si>
  <si>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</si>
  <si>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88 (PLE_CC1_2562_Key.md)</t>
  </si>
  <si>
    <t>การให้ความรู้ผู้ป่วยเกี่ยวกับการเกิด GERD เพื่อป้องกันการเกิด จัดเป็นพฤติกรรมแบบใด X sulfone O virvirensaigomeans Ibisoobean casalovesea nu na enginess</t>
  </si>
  <si>
    <t>Health belief model</t>
  </si>
  <si>
    <t>Self-efficacy model</t>
  </si>
  <si>
    <t>Health Locus of control</t>
  </si>
  <si>
    <t>Theory of reason action</t>
  </si>
  <si>
    <t>Theory of planned health</t>
  </si>
  <si>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</si>
  <si>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92 (PLE_CC1_2562_Key.md)</t>
  </si>
  <si>
    <t>ถ้าผู้ป่วยได้รับ clindamycin capsule แล้วมีเม็ดเลือดขาวสูง ปวดท้องและท้องเสีย อาการดังกล่าวเกิดจากภาวะใด O dicloxa , cloxa X X ~</t>
  </si>
  <si>
    <t>Disulfiram like reaction</t>
  </si>
  <si>
    <t>Serum sickness syndrome</t>
  </si>
  <si>
    <t>Pseudomembranous colitis</t>
  </si>
  <si>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</si>
  <si>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98 (PLE_CC1_2562_Key.md)</t>
  </si>
  <si>
    <t>GERD and Peptic ulcer</t>
  </si>
  <si>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</si>
  <si>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6 (PLE_CC1_2560 22 April Set 1.md)</t>
  </si>
  <si>
    <t>ผู้ป่วยรายนี้ได้ NSAIDs เพื่อบรรเทาอาการปวด ต้องได้รับยาใดเพื่อป้องกันโรคกระเพาะเหมาะสมที่สุด</t>
  </si>
  <si>
    <t>Misoprostol ห้ามนำไปทำซ้ำทุกกรณี เว้นแต่จะได้รับอนุญาต</t>
  </si>
  <si>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</si>
  <si>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66 (PLE_CC1_2558_Key.md)</t>
  </si>
  <si>
    <t>ข้อใดคือกลไกของยา Palonosetron ในการรักษาและป้องอาการคลื่นไส้ อาเจียน</t>
  </si>
  <si>
    <t>5-HT3 receptor antagonist</t>
  </si>
  <si>
    <t>Dopamine receptor antagonist</t>
  </si>
  <si>
    <t>H1 antihistamine</t>
  </si>
  <si>
    <t>NK1 receptor antagonist</t>
  </si>
  <si>
    <t>Glucocorticoid</t>
  </si>
  <si>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</si>
  <si>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25 (Pharmtutor_2024_Set2.md)</t>
  </si>
  <si>
    <t>คำนิยามของ อาการท้องเสียเรื้อรัง (Chronic Diarrhea) คืออะไร</t>
  </si>
  <si>
    <t>มีอาการถ่ายมากกว่า 2 ครั้งต่อ 1 วัน</t>
  </si>
  <si>
    <t>มีอาการถ่ายมากกว่า 3 ครั้งต่อ 1 วัน</t>
  </si>
  <si>
    <t>มีอาการถ่ายผิดปกติ ติดต่อกันเป็นระยะเวลานานมากกว่า 7 วัน</t>
  </si>
  <si>
    <t>มีอาการถ่ายผิดปกติ ติดต่อกันเป็นระยะเวลานานมากกว่า 14 วัน</t>
  </si>
  <si>
    <t>ข้อ a และ c ถูก</t>
  </si>
  <si>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</si>
  <si>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28 (Pharmtutor_2024_Set2.md)</t>
  </si>
  <si>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</si>
  <si>
    <t>Psyllium-based product</t>
  </si>
  <si>
    <t>Lubiprostone</t>
  </si>
  <si>
    <t>Tegaserod</t>
  </si>
  <si>
    <t>Prucalopride</t>
  </si>
  <si>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</si>
  <si>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29 (Pharmtutor_2024_Set2.md)</t>
  </si>
  <si>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</si>
  <si>
    <t>Bisacodyl 5 mg HS</t>
  </si>
  <si>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</si>
  <si>
    <t>ข้อ 47 (PLE_CC1_2557.md)</t>
  </si>
  <si>
    <t>??? --------------------------------------------------------------------------------------------------------------------------------- สถานการณ์ที่ 9 : GERD</t>
  </si>
  <si>
    <t>ผู้ป่วยเพศชาย อายุ 24 ปี มีอาการเรอเปรี้ยว ขย่อน กรดไหลย้อน ควรได้รับยาใด</t>
  </si>
  <si>
    <t>famotidine</t>
  </si>
  <si>
    <t>bismus</t>
  </si>
  <si>
    <t>salol</t>
  </si>
  <si>
    <t>antacid</t>
  </si>
  <si>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</si>
  <si>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อาการท้องเสียเกิดจากเชื้ออะไร</t>
  </si>
  <si>
    <t>rotavirus</t>
  </si>
  <si>
    <t>shigella</t>
  </si>
  <si>
    <t>E.coli</t>
  </si>
  <si>
    <t>Vibrio cholerae</t>
  </si>
  <si>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</si>
  <si>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โรคกระเพาะอาหาร</t>
  </si>
  <si>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</si>
  <si>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 (PLE_CC1_2533.md)</t>
  </si>
  <si>
    <t>ข้อใดไม่ใช่ปัจจัยเสี่ยงของการเกิดแผลในกระเพาะ</t>
  </si>
  <si>
    <t>อายุ &gt; 65 ปี</t>
  </si>
  <si>
    <t>มีการใช้ยาในกลุ่ม NSAIDs</t>
  </si>
  <si>
    <t>มีพฤติกรรมดื่มกาแฟและสูบบุหรี่เป็นประจำ</t>
  </si>
  <si>
    <t>Osteoarthritis แพทย์พิจารณาสั่งจ่ายยา Omeprazole ขนาด 40 มิลลิกรัม รับประทานวันละ 1 ครั้ง ก่อนอาหารเช้า</t>
  </si>
  <si>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</si>
  <si>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Domperidone ออกฤทธิ์ต้านการอาเจียนที่ใด</t>
  </si>
  <si>
    <t>Serotonin 5-HT3 ที่ CTZ</t>
  </si>
  <si>
    <t>GABA receptor ที่ CTZ</t>
  </si>
  <si>
    <t>Nueurokinin-1 receptor ที่ CTZ</t>
  </si>
  <si>
    <t>Dopamine D2 receptor ที่ CTZ</t>
  </si>
  <si>
    <t>Histamine H1 receptor ที่ CTZ</t>
  </si>
  <si>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[NEED_REVIEW]
📌 จุดจำก่อนสอบ:
Domperidone = D2 antagonist (CTZ); ผ่าน BBB น้อย; EPS น้อยกว่า Metoclopramide; QT prolongation</t>
  </si>
  <si>
    <t>ข้อ 18 (PLE_CC1_Practice_Exam.md)</t>
  </si>
  <si>
    <t>ข้อใดเป็นสาเหตุของภาวะท้องเสียในผู้ป่วยรายนี้</t>
  </si>
  <si>
    <t>Salmonella typhi</t>
  </si>
  <si>
    <t>Enterotoxigenic E.coli</t>
  </si>
  <si>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</si>
  <si>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</si>
  <si>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</si>
  <si>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30 (PLE_CC1_Practice_Exam.md)</t>
  </si>
  <si>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</si>
  <si>
    <t>เกิดจากยา Estradiol valerateแก้ไขโดยการเปลี่ยนยา เป็น tibolone</t>
  </si>
  <si>
    <t>เกิดจากยา Norethisterone acetate แก้ไขโดยการเปลี่ยนยาเป็น tibolone</t>
  </si>
  <si>
    <t>เกิดจากยา Estradiol valerateแก้ไขโดยการเปลี่ยนยา เป็น Raloxifene</t>
  </si>
  <si>
    <t>เกิดจากยา Norethisterone acetate แก้ไขโดยการเปลี่ยนยาเป็น Raloxifene</t>
  </si>
  <si>
    <t>เกิดจากยา Estradiol valerate แก้ไขโดยการเปลี่ยนยาเป็น Conjugated estrogen</t>
  </si>
  <si>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[NEED_REVIEW]
📌 จุดจำก่อนสอบ:
ปวดเต้านม/คลื่นไส้จาก HRT = Estrogenic effect; Raloxifene (SERM) = Estrogen antagonist ที่เต้านม</t>
  </si>
  <si>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</si>
  <si>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</si>
  <si>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</si>
  <si>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</si>
  <si>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</si>
  <si>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</si>
  <si>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ผู้ป่วยหญิงเป็นโรคกระเพาะจากภาวะเครียดเรื้อรัง</t>
  </si>
  <si>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</si>
  <si>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คลื่นไส้อาเจียน</t>
  </si>
  <si>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</si>
  <si>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หากผู้ป่วยมีอาการท้องเสีย คาดว่าน่าจะมีสาเหตุมาจากยาตัวใดมากที่สุด</t>
  </si>
  <si>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</si>
  <si>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ใช้กับผู้ป่วยที่เป็นนิ่วในกระเพาะปัสสาวะ</t>
  </si>
  <si>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</si>
  <si>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ผู้ป่วยต้องได้รับยานี้เป็นระยะเวลานาน 1 เดือน พบว่าผู้ป่วยมีอาการท้องเสียรุนแรง อยากทราบว่าเกิดจากเชื้ออะไร</t>
  </si>
  <si>
    <t>ข้อ 35 (PLE_CC1_Key_Rx20_UBU.md)</t>
  </si>
  <si>
    <t>หากเกิดอาการคลื่นไส้ อาเจียน เวียนหัวให้หยุดยาแล้วมาพบแพทย์</t>
  </si>
  <si>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</si>
  <si>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 สถานการณ) 6 ชาย อายุ 14ป3 ไปกินอาหาร ปวดเบGง ถGายกระปØดกระปรอย ท$องเสียเปญนมูกเลือด ไมGมีกลิ่น ไมGอาเจียน</t>
  </si>
  <si>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</si>
  <si>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51 (PLE_CC1_Key_Rx20_UBU.md)</t>
  </si>
  <si>
    <t>ลดอาการคลื่นไส้อาเจียน</t>
  </si>
  <si>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</si>
  <si>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ตัวอย่างเช่นสารเคมีที่สร้างขึ้นภายในร่างกายเพื่อ ทำลายเชื้อ เช่น กรดในกระเพาะอาหาร</t>
  </si>
  <si>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</si>
  <si>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ข้อใดไม่ใชปัจจัยเสี่ยงของโรค GERD</t>
  </si>
  <si>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</si>
  <si>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คลื่นไส อาเจียน</t>
  </si>
  <si>
    <t>ยาใดไม่ควรใช้ในผู้ป่วย GERD</t>
  </si>
  <si>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</si>
  <si>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ยาใดที่ใช้ในการป้องกันอาการคลื่นไส้ อาเจียนในผู้ป่วยรายนี้</t>
  </si>
  <si>
    <t>Dexamethasone</t>
  </si>
  <si>
    <t>Ondansetron</t>
  </si>
  <si>
    <t>Ondansetron + Dexamethasone + Diphenhydramine</t>
  </si>
  <si>
    <t>Ondansetron + Dexamethasone + Aprepitant</t>
  </si>
  <si>
    <t>Metoclopramide + Dexamethasone + Aprepitant วันโดยยาที่ได้รับต้องประกอบไปด้วย 1. 5-HT antagonist 2. NK-1 receptor antagonist และ 3. Dexamethasone</t>
  </si>
  <si>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</si>
  <si>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12 (PLE_CC1_Key_Rx20_UBU.md)</t>
  </si>
  <si>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</si>
  <si>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</si>
  <si>
    <t>Mock RxCU84 GI (Case 1 Q1.1)</t>
  </si>
  <si>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</si>
  <si>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</si>
  <si>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</si>
  <si>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</si>
  <si>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</si>
  <si>
    <t>ห้ามดื่มทดแทนอย่างเด็ดขาด เนื่องจากแก๊สจากน้ำอัดลมจะทำให้ท้องอืดอย่างรุนแรง ส่งผลกระทบต่อความถี่ในการขับถ่าย</t>
  </si>
  <si>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</si>
  <si>
    <t>Mock RxCU84 GI (Case 1 Q1.2)</t>
  </si>
  <si>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</si>
  <si>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</si>
  <si>
    <t>Drug Interactions</t>
  </si>
  <si>
    <t>Mock RxCU84 GI (Case 1 Q1.3)</t>
  </si>
  <si>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</si>
  <si>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</si>
  <si>
    <t>Mock RxCU84 GI (Case 1 Q1.4)</t>
  </si>
  <si>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</si>
  <si>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</si>
  <si>
    <t>Mock RxCU84 GI (Case 2 Q2.1)</t>
  </si>
  <si>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</si>
  <si>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</si>
  <si>
    <t>Mock RxCU84 GI (Case 2 Q2.2)</t>
  </si>
  <si>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</si>
  <si>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</si>
  <si>
    <t>Mock RxCU84 GI (Case 2 Q2.3)</t>
  </si>
  <si>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</si>
  <si>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</si>
  <si>
    <t>Mock RxCU84 GI (Case 2 Q2.4)</t>
  </si>
  <si>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</si>
  <si>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</si>
  <si>
    <t>Mock RxCU84 GI (Case 3 Q3.1)</t>
  </si>
  <si>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</si>
  <si>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</si>
  <si>
    <t>Mock RxCU84 GI (Case 3 Q3.2)</t>
  </si>
  <si>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</si>
  <si>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</si>
  <si>
    <t>Mock RxCU84 GI (Case 3 Q3.3)</t>
  </si>
  <si>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</si>
  <si>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</si>
  <si>
    <t>Mock RxCU84 GI (Case 3 Q3.4)</t>
  </si>
  <si>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</si>
  <si>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</si>
  <si>
    <t>Mock RxCU84 GI (Case 3 Q3.5)</t>
  </si>
  <si>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</si>
  <si>
    <t>ทำให้ Pitavastatin หมดฤทธิ์ในการลดระดับไขมัน</t>
  </si>
  <si>
    <t>ลดการดูดซึมยา Dolutegravir อย่างมีนัยสำคัญจากการเกิด Chelation</t>
  </si>
  <si>
    <t>ทำให้ยา Tenofovir (TDF) สะสมในกระแสเลือดจนเกิดพิษต่อไตเฉียบพลัน</t>
  </si>
  <si>
    <t>เพิ่มระดับยา Lamivudine (3TC) จนเกิดภาวะโลหิตจางรุนแรง</t>
  </si>
  <si>
    <t>ยาลดกรดกระตุ้นการทำลายตัวยา Dolutegravir ผ่านทางเอนไซม์ตับ CYP3A4</t>
  </si>
  <si>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</si>
  <si>
    <t>Mock RxCU84 GI (Case 4 Q4.1)</t>
  </si>
  <si>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</si>
  <si>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</si>
  <si>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</si>
  <si>
    <t>Mock RxCU84 GI (Case 4 Q4.2)</t>
  </si>
  <si>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</si>
  <si>
    <t>ยาต้านไวรัส 3TC จะเกิดการเสื่อมสภาพทันทีหาก pH ในกระเพาะอาหารเพิ่มขึ้นมากกว่า 5.0</t>
  </si>
  <si>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</si>
  <si>
    <t>Mock RxCU84 GI (Case 4 Q4.3)</t>
  </si>
  <si>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</si>
  <si>
    <t>ยา Diclofenac ทำให้เกิดภาวะติดเชื้อแบคทีเรีย H. pylori ในกระเพาะอาหารได้ง่ายขึ้น</t>
  </si>
  <si>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</si>
  <si>
    <t>Peptic Ulcer</t>
  </si>
  <si>
    <t>Mock RxCU84 GI (Case 5 Q5.1)</t>
  </si>
  <si>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</si>
  <si>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</si>
  <si>
    <t>Mock RxCU84 GI (Case 5 Q5.2)</t>
  </si>
  <si>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</si>
  <si>
    <t>ออกฤทธิ์บล็อก Proton pump; อาการข้างเคียงคืออาการปวดศีรษะ; ห้ามใช้ในผู้ป่วยโรคตับแข็ง</t>
  </si>
  <si>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</si>
  <si>
    <t>Mock RxCU84 GI (Case 5 Q5.3)</t>
  </si>
  <si>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</si>
  <si>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</si>
  <si>
    <t>Mock RxCU84 GI (Case 5 Q5.4)</t>
  </si>
  <si>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</si>
  <si>
    <t>5-HT3 receptor antagonist (เช่น Ondansetron)</t>
  </si>
  <si>
    <t>Antihistamine / Anticholinergic (เช่น Dimenhydrinate)</t>
  </si>
  <si>
    <t>Dopamine D2 antagonist (เช่น Domperidone)</t>
  </si>
  <si>
    <t>Benzodiazepines (เช่น Lorazepam)</t>
  </si>
  <si>
    <t>Neurokinin-1 antagonist (เช่น Aprepitant)</t>
  </si>
  <si>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</si>
  <si>
    <t>Nausea &amp; Vomiting</t>
  </si>
  <si>
    <t>Mock RxCU84 GI (Case 5 Q5.5)</t>
  </si>
  <si>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</si>
  <si>
    <t>Domperidone ออกฤทธิ์ที่ 5-HT3 receptor จึงไม่มีผลข้างเคียงต่อระบบประสาท</t>
  </si>
  <si>
    <t>Domperidone ผ่าน Blood-Brain Barrier (BBB) ได้น้อยกว่า Metoclopramide จึงมีโอกาสเกิด Extrapyramidal Symptoms (EPS) และผลข้างเคียงทาง CNS น้อยกว่าอย่างมีนัยสำคัญ</t>
  </si>
  <si>
    <t>Domperidone ไม่มีผลต่อการเพิ่มขึ้นของระดับ Prolactin ในกระแสเลือดเลย</t>
  </si>
  <si>
    <t>Metoclopramide ไม่สามารถผ่าน BBB ได้ จึงปลอดภัยกว่าสำหรับการใช้ในระยะยาว</t>
  </si>
  <si>
    <t>ยาทั้งสองตัวมีระดับความปลอดภัยและผลข้างเคียงต่อระบบประสาทส่วนกลางเหมือนกันทุกประการ</t>
  </si>
  <si>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</si>
  <si>
    <t>Mock RxCU84 GI (Case 5 Q5.6)</t>
  </si>
  <si>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</si>
  <si>
    <t>ควรรับประทานพร้อมอาหารที่มีไขมันสูงเพื่อเพิ่มการดูดซึมยาเข้าสู่กระแสเลือด</t>
  </si>
  <si>
    <t>ไม่ควรใช้ติดต่อกันนานเกิน 12 สัปดาห์ เนื่องจากเพิ่มความเสี่ยงต่อการเกิดภาวะ Tardive Dyskinesia ซึ่งอาจเป็นแบบถาวรรักษาไม่หาย</t>
  </si>
  <si>
    <t>สามารถใช้ร่วมกับเครื่องดื่มแอลกอฮอล์ได้อย่างปลอดภัยโดยไม่มีผลเสริมฤทธิ์กดประสาท</t>
  </si>
  <si>
    <t>ไม่มีผลต่อระบบประสาทส่วนกลาง จึงสามารถใช้ในผู้ป่วยโรคพาร์กินสัน (Parkinson's disease) ได้อย่างปลอดภัย</t>
  </si>
  <si>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</si>
  <si>
    <t>Mock RxCU84 GI (Case 5 Q5.7)</t>
  </si>
  <si>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</si>
  <si>
    <t>High emetogenic potential (โอกาสเกิดอาการมากกว่าร้อยละ 90)</t>
  </si>
  <si>
    <t>Minimal emetogenic potential (โอกาสเกิดอาการน้อยกว่าร้อยละ 10)</t>
  </si>
  <si>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</si>
  <si>
    <t>Mock RxCU84 GI (Case 6 Q6.1)</t>
  </si>
  <si>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</si>
  <si>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</si>
  <si>
    <t>Mock RxCU84 GI (Case 6 Q6.2)</t>
  </si>
  <si>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</si>
  <si>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</si>
  <si>
    <t>Mock RxCU84 GI (Case 6 Q6.3)</t>
  </si>
  <si>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</si>
  <si>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</si>
  <si>
    <t>ผู้สูงอายุไม่มีความเสี่ยงพิเศษใดๆ เพิ่มเติมจากการใช้ยาในกลุ่ม D2 antagonist</t>
  </si>
  <si>
    <t>Metoclopramide มีความปลอดภัยในผู้สูงอายุมากกว่าเมื่อเปรียบเทียบกับผู้ป่วยอายุน้อย</t>
  </si>
  <si>
    <t>ไม่จำเป็นต้องคำนึงถึงการทำงานของไตในการบริหารยา Metoclopramide ในผู้สูงอายุ</t>
  </si>
  <si>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</si>
  <si>
    <t>Mock RxCU84 GI (Case 6 Q6.4)</t>
  </si>
  <si>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</si>
  <si>
    <t>เป็น Acute emesis แนะนำให้เพิ่มขนาดของยา 5-HT3 antagonist</t>
  </si>
  <si>
    <t>เป็น Delayed emesis แนะนำให้เพิ่มขนาดของยา NK1 antagonist</t>
  </si>
  <si>
    <t>เป็น Anticipatory emesis ซึ่งเกิดจาก Classical conditioning แนะนำให้ใช้ยาในกลุ่ม Benzodiazepines (เช่น Lorazepam)</t>
  </si>
  <si>
    <t>เป็นผลจาก Motion sickness ระหว่างการเดินทางมาโรงพยาบาล แนะนำให้ยา Dimenhydrinate</t>
  </si>
  <si>
    <t>ไม่ต้องให้การรักษาใดๆ เนื่องจากเป็นอาการทางจิตใจที่ไม่เกี่ยวข้องกับเภสัชวิทยา</t>
  </si>
  <si>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</si>
  <si>
    <t>Mock RxCU84 GI (Case 6 Q6.5)</t>
  </si>
  <si>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</si>
  <si>
    <t>External hemorrhoid (ไม่จัดอยู่ในระบบ Grade I-IV)</t>
  </si>
  <si>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</si>
  <si>
    <t>Hemorrhoids</t>
  </si>
  <si>
    <t>Mock RxCU84 GI (Case 7 Q7.1)</t>
  </si>
  <si>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</si>
  <si>
    <t>ส่งต่อทำ Colonoscopy ทันทีทุกกรณีเนื่องจากพบอาการเลือดออกทางทวารหนัก</t>
  </si>
  <si>
    <t>ประเมินแล้วไม่มี Red flags ชัดเจน จึงเริ่มการดูแลแบบอนุรักษ์ (Conservative management) ที่ร้านยาได้ พร้อมแนะนำสัญญาณอันตรายที่ต้องกลับมาพบแพทย์</t>
  </si>
  <si>
    <t>จ่ายยาปฏิชีวนะชนิดรับประทานเพื่อป้องกันการติดเชื้อในกระแสเลือด</t>
  </si>
  <si>
    <t>แนะนำให้ผู้ป่วยเข้ารับการผ่าตัดริดสีดวงทวารทันทีโดยไม่ต้องปรับพฤติกรรม</t>
  </si>
  <si>
    <t>ให้ผู้ป่วยสังเกตอาการเองที่บ้านนาน 3 เดือนโดยไม่ต้องให้คำแนะนำเตือนใดๆ</t>
  </si>
  <si>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</si>
  <si>
    <t>Mock RxCU84 GI (Case 7 Q7.2)</t>
  </si>
  <si>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</si>
  <si>
    <t>การรัดยางหัวริดสีดวง (Rubber band ligation)</t>
  </si>
  <si>
    <t>การใช้ยาเหน็บทวารหนักสูตรผสม Hydrocortisone + Lidocaine suppository</t>
  </si>
  <si>
    <t>การปรับเปลี่ยนอาหารและพฤติกรรม (Dietary &amp; behavioral modification: เพิ่มใยอาหาร ดื่มน้ำเพียงพอ และปรับสุขอนามัยการขับถ่าย)</t>
  </si>
  <si>
    <t>การผ่าตัดริดสีดวงทวาร (Hemorrhoidectomy)</t>
  </si>
  <si>
    <t>การจ่ายยาปฏิชีวนะชนิดรับประทานเพื่อป้องกันการติดเชื้อ</t>
  </si>
  <si>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</si>
  <si>
    <t>Mock RxCU84 GI (Case 7 Q7.3)</t>
  </si>
  <si>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</si>
  <si>
    <t>Senna + แนะนำให้ใช้เฉพาะเวลาปวดท้องถ่าย</t>
  </si>
  <si>
    <t>Psyllium (Bulk-forming laxative) + แนะนำให้ดื่มน้ำตามมากๆ ให้เพียงพอ และรับประทานต่อเนื่องอย่างน้อย 6 สัปดาห์</t>
  </si>
  <si>
    <t>Bisacodyl + แนะนำให้รับประทานก่อนนอนทุกคืนอย่างถาวร</t>
  </si>
  <si>
    <t>Glycerin suppository + แนะนำให้สวนทวารทุกเช้าเป็นประจำ</t>
  </si>
  <si>
    <t>Lactulose + แนะนำให้รับประทานเฉพาะเมื่อมีอาการปวดทวารหนักเท่านั้น</t>
  </si>
  <si>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</si>
  <si>
    <t>Mock RxCU84 GI (Case 7 Q7.4)</t>
  </si>
  <si>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</si>
  <si>
    <t>1 เม็ด วันละครั้ง รับประทานต่อเนื่อง</t>
  </si>
  <si>
    <t>2 เม็ด วันละครั้ง ตลอดไป</t>
  </si>
  <si>
    <t>6 เม็ดต่อวัน (ครั้งละ 2 เม็ด วันละ 3 ครั้ง) นาน 4 วัน ตามด้วย 4 เม็ดต่อวัน (ครั้งละ 2 เม็ด วันละ 2 ครั้ง) อีก 3 วัน</t>
  </si>
  <si>
    <t>2 เม็ด วันละ 3 ครั้ง ต่อเนื่องกันนาน 14 วัน</t>
  </si>
  <si>
    <t>3 เม็ดต่อวัน นาน 7 วัน แล้วหยุดยาทันที</t>
  </si>
  <si>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</si>
  <si>
    <t>Mock RxCU84 GI (Case 7 Q7.5)</t>
  </si>
  <si>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</si>
  <si>
    <t>สามารถรักษาริดสีดวงทวารให้หายขาดและป้องกันการกลับเป็นซ้ำได้อย่างถาวร</t>
  </si>
  <si>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</si>
  <si>
    <t>สามารถใช้ทดแทนการปรับเปลี่ยนอาหารและสุขอนามัยได้ เนื่องจากเป็น First-line therapy</t>
  </si>
  <si>
    <t>ยิ่งใช้ติดต่อกันเป็นเวลานานยิ่งมีประสิทธิภาพดี และไม่มีผลข้างเคียงใดๆ</t>
  </si>
  <si>
    <t>มีข้อบ่งใช้เฉพาะเมื่อพบหลักฐานการติดเชื้อแบคทีเรียที่บริเวณทวารหนักเท่านั้น</t>
  </si>
  <si>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</si>
  <si>
    <t>Mock RxCU84 GI (Case 7 Q7.6)</t>
  </si>
  <si>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</si>
  <si>
    <t>Ibuprofen ปลอดภัยและเหมาะสมที่สุด / ควรหลีกเลี่ยง Paracetamol</t>
  </si>
  <si>
    <t>Paracetamol ปลอดภัยและเหมาะสมที่สุด / ควรหลีกเลี่ยง NSAIDs (เช่น Ibuprofen, Diclofenac) และ Aspirin</t>
  </si>
  <si>
    <t>Aspirin ปลอดภัยและเหมาะสมที่สุด / ควรหลีกเลี่ยง Psyllium husk</t>
  </si>
  <si>
    <t>Naproxen ปลอดภัยและเหมาะสมที่สุด / ควรหลีกเลี่ยงการแช่น้ำอุ่น (Sitz bath)</t>
  </si>
  <si>
    <t>Tramadol เป็นทางเลือกแรกที่เหมาะสม / ควรหลีกเลี่ยง Paracetamol</t>
  </si>
  <si>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</si>
  <si>
    <t>Mock RxCU84 GI (Case 7 Q7.7)</t>
  </si>
  <si>
    <t>ข้อใดคืออาการข้างเคียงของ aluminium hydroxide ที่พบบ่อยที่สุด  , itsainascionsite,dzistmngneis e - =</t>
  </si>
  <si>
    <t>Steatorrhea</t>
  </si>
  <si>
    <t>Folate deficiency anemia</t>
  </si>
  <si>
    <t>Metabolic acidosis</t>
  </si>
  <si>
    <t>Urinary tract infection</t>
  </si>
  <si>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</si>
  <si>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90 (PLE_CC1_2562_Key.md)</t>
  </si>
  <si>
    <t>คำแนะนำในการใช้ยาเหน็บทวารข้อใดไม่ถูกต้อง</t>
  </si>
  <si>
    <t>เก็บยาในช่องแช่เย็นก่อนแกะยาออกจากห่อ</t>
  </si>
  <si>
    <t>นอนตะแคงโดยให้ขาล่างเหยียดตรงและงอขาบนจนหัวเข่าชิดหน้าอกให้มากที่สุด</t>
  </si>
  <si>
    <t>สอดยาเหน็บเข้าไปในทวารหนัก โดยเอาด้านที่มีปลายแหลมเข้าไปก่อน</t>
  </si>
  <si>
    <t>นอนในท่าเดิมสักครู่หนึ่งประมาณ 5 นาที เพื่อให้แท่งยาละลายและออกฤทธิ์</t>
  </si>
  <si>
    <t>มีข้อผิดมากกว่า 1 ข้อ</t>
  </si>
  <si>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[NEED_REVIEW]
📌 จุดจำก่อนสอบ:
ยาเหน็บ: เก็บในห่อในตู้เย็น → ก่อนใช้ค่อยแกะ → นอนตะแคง → ปลายแหลมเข้าก่อน → นอนต่อ 5 นาที</t>
  </si>
  <si>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</si>
  <si>
    <t>Hypochromic microcytic anemia</t>
  </si>
  <si>
    <t>Hypochromic normocytic anemia</t>
  </si>
  <si>
    <t>Normochromic normocytic anemia</t>
  </si>
  <si>
    <t>Normochromic macrocytic anemia</t>
  </si>
  <si>
    <t>Hyperchromic macrocytic anemia</t>
  </si>
  <si>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</si>
  <si>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Anemia</t>
  </si>
  <si>
    <t>Specific antidote ในผู้ป่วยที่มีภาวะเหล็กเกินคือข้อใด</t>
  </si>
  <si>
    <t>Vitamin C 500 mg OD</t>
  </si>
  <si>
    <t>Pyridoxine 50 mg OD</t>
  </si>
  <si>
    <t>Hydroxyurea 500 mg OD</t>
  </si>
  <si>
    <t>Blood transfusion (Packed Red Cells)</t>
  </si>
  <si>
    <t>Ferrous fumarate 200 mg TID</t>
  </si>
  <si>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</si>
  <si>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2 Pharma Plus เล่มม่วง (เฉลยข้อ ง)</t>
  </si>
  <si>
    <t>สารพฤกษเคมีกลุ่มใดที่มีผลรบกวนการดูดซึมธาตุเหล็ก</t>
  </si>
  <si>
    <t>Alkaloids</t>
  </si>
  <si>
    <t>Anthraquinones</t>
  </si>
  <si>
    <t>Quinolines</t>
  </si>
  <si>
    <t>Flavonoids</t>
  </si>
  <si>
    <t>Tannins</t>
  </si>
  <si>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</si>
  <si>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</si>
  <si>
    <t>จ่ายยา folic acid</t>
  </si>
  <si>
    <t>จ่ายยา vitamin B 12</t>
  </si>
  <si>
    <t>จ่ายยา ferrous gluconate</t>
  </si>
  <si>
    <t>แนะนำให้พาผู้ป่วยไปโรงพยาบาลทันที</t>
  </si>
  <si>
    <t>จ่ายยา ferrous sulfate และ folic acid</t>
  </si>
  <si>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</si>
  <si>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4 Pharma Plus เล่มม่วง (เฉลยข้อ ง)</t>
  </si>
  <si>
    <t>ในกรณีหากพ่อเด็กตัดสินใจนำผู้ป่วยไปตรวจที่รพ. พบว่าเป็น G6PD อาการซีดในผู้ป่วยจัดเป็นแบบใด</t>
  </si>
  <si>
    <t>Aplastic anemia</t>
  </si>
  <si>
    <t>Pernicious anemia</t>
  </si>
  <si>
    <t>Chronic renal failure</t>
  </si>
  <si>
    <t>Iron deficiency failure</t>
  </si>
  <si>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</si>
  <si>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5 Pharma Plus เล่มม่วง (เฉลยข้อ ข)</t>
  </si>
  <si>
    <t>ข้อใดควรใช้ในการรักษาผู้ป่วยรายนี้ในโรงพยาบาล</t>
  </si>
  <si>
    <t>Platelet</t>
  </si>
  <si>
    <t>Vitamin B12</t>
  </si>
  <si>
    <t>Packed red cell</t>
  </si>
  <si>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</si>
  <si>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ปัจจัยใดที่น่าจะเป็นสาเหตุทำให้เกิดอาการซีดในคนไข้</t>
  </si>
  <si>
    <t>Vitamin C</t>
  </si>
  <si>
    <t>กินแต่เนื้อสัตว์ ไม่ชอบกินผัก</t>
  </si>
  <si>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</si>
  <si>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เมื่อเด็กชายคนนี้โตขึ้นและจะแต่งงานข้อใดถูก</t>
  </si>
  <si>
    <t>แต่งงานกันได้แต่ไม่ควรมีลูก เพราะสามารถถ่ายทอดทางพันธุกรรมได้</t>
  </si>
  <si>
    <t>แต่งงานกันได้ และหากตั้งครรภ์เป็นลูกชายให้ทำแท้ง แต่ถ้าเป็นหญิงไม่เป็นไร</t>
  </si>
  <si>
    <t>แต่งงานกันได้ และหากตั้งครรภ์เป็นลูกผู้หญิงให้ทำแท้ง แต่ถ้าชายเป็นไม่เป็นไร</t>
  </si>
  <si>
    <t>ทุกคนเป็นโรคนี้เท่ากัน ไม่ว่าชายหรือหญิง</t>
  </si>
  <si>
    <t>แต่งไม่ได้ จะทำให้ไม่มีคุณภาพชีวิตมีความสุขไปตลอดชีวิต เป็นการทำบาป</t>
  </si>
  <si>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</si>
  <si>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8 Pharma Plus เล่มม่วง (เฉลยข้อ ก)</t>
  </si>
  <si>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</si>
  <si>
    <t>เป็นผู้ชาย</t>
  </si>
  <si>
    <t>มีโปตาสเซียมสูง</t>
  </si>
  <si>
    <t>มีการติดเชื้อในทางเดินปัสสาวะ</t>
  </si>
  <si>
    <t>ได้รับยา co-trimoxazole</t>
  </si>
  <si>
    <t>ได้รับยา ranitidine</t>
  </si>
  <si>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</si>
  <si>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ข้อ 9 Pharma Plus เล่มม่วง (เฉลยข้อ จ)</t>
  </si>
  <si>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</si>
  <si>
    <t>อาการเหนื่อยเพลีย</t>
  </si>
  <si>
    <t>ปัสสาวะมีสีคล้ำเหมือนสีน้ำปลา</t>
  </si>
  <si>
    <t>มีประวัติเป็นโรคกระเพาะอาหาร</t>
  </si>
  <si>
    <t>Hb 8 g/dL (normal; 12-16), Hct 22% (normal; 38-48)</t>
  </si>
  <si>
    <t>Total bilirubin 4 mg/L (normal; &lt;1)</t>
  </si>
  <si>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</si>
  <si>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ข้อ 10 Pharma Plus เล่มม่วง (เฉลยข้อ ค)</t>
  </si>
  <si>
    <t>ข้อใดไม่ถูกต้องในการเกิด G-6-PD Deficiency anemia</t>
  </si>
  <si>
    <t>การติดเชื้อทำให้ร่างกายสร้างอนุมูลอิสระมากขึ้น</t>
  </si>
  <si>
    <t>มี oxidative stress สูงเนื่องจากมี H2O2 ภายในเซลล์</t>
  </si>
  <si>
    <t>H2O2 ทำให้เกิด Sulhydryl-hemoglobin ทำให้เม็ดเลือดแดงแตก</t>
  </si>
  <si>
    <t>ฮีโมโกลบินตกตะกอนในเม็ดเลือดแดง ทำให้ถูก macrophage ที่ม้ามจับกิน</t>
  </si>
  <si>
    <t>การขาดเอนไซม์ G-6-PD ทำให้ reduced glutathione เพิ่มขึ้น เกิดการแตกของเม็ดเลือดแดง</t>
  </si>
  <si>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</si>
  <si>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ยาในข้อใดทำให้เกิดภาวะเม็ดเลือดแดงแตกเฉียบพลันในผู้ป่วย G-6-PD deficiency anemia</t>
  </si>
  <si>
    <t>Heparin</t>
  </si>
  <si>
    <t>Primaquine</t>
  </si>
  <si>
    <t>Cloxacillin</t>
  </si>
  <si>
    <t>Penicillin</t>
  </si>
  <si>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</si>
  <si>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การรักษาภาวะ acute anemia ในข้อใดเหมาะสมกับผู้ป่วยรายนี้</t>
  </si>
  <si>
    <t>ให้เลือด</t>
  </si>
  <si>
    <t>Ferrous sulfate ร่วมกับ Folic acid</t>
  </si>
  <si>
    <t>Erythropoietin</t>
  </si>
  <si>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</si>
  <si>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13 Pharma Plus เล่มม่วง (เฉลยข้อ ก)</t>
  </si>
  <si>
    <t>ข้อใดผิดเกี่ยวกับการให้คำแนะนำที่ควรให้แก่ผู้ป่วยรายนี้</t>
  </si>
  <si>
    <t>หลีกเลี่ยงการใช้ยาที่ทำให้เกิดเม็ดเลือดแดงแตก</t>
  </si>
  <si>
    <t>การติดเชื้อทำให้เม็ดเลือดแดงแตกได้</t>
  </si>
  <si>
    <t>ให้สังเกตอาการเม็ดเลือดแดงแตก ถ้าเกิดอีกให้รีบมาพบแพทย์</t>
  </si>
  <si>
    <t>หยุดใช้ยา ranitidine เพราะเป็นสาเหตุเม็ดเลือดแดงแตก</t>
  </si>
  <si>
    <t>รับประทานอาหารที่มีธาตุเหล็กเพื่อเสริมสร้างเม็ดเลือด</t>
  </si>
  <si>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</si>
  <si>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ความเป็นพิษต่อระบบเลือดแบบใดที่ไม่มีสาเหตุจาก drug induce</t>
  </si>
  <si>
    <t>Autoimmune-induced hemolysis</t>
  </si>
  <si>
    <t>Bone marrow suppression</t>
  </si>
  <si>
    <t>Methemoglobinemia</t>
  </si>
  <si>
    <t>Sickle cell anemia</t>
  </si>
  <si>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</si>
  <si>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15 Pharma Plus เล่มม่วง (เฉลยข้อ ง)</t>
  </si>
  <si>
    <t>ยาต่อไปนี้ตัวใดทำให้อุจจาระเป็นสีดำ</t>
  </si>
  <si>
    <t>Dapsone</t>
  </si>
  <si>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</si>
  <si>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จากข้อมูลข้างต้น ท่านต้องแนะนำการรับประทานยา ferrous sulfate ให้แก่ผู้ป่วยอย่างไร</t>
  </si>
  <si>
    <t>ควรรับประทานร่วมกับนม เพื่อเพิ่มการดูดซึมของ ferrous</t>
  </si>
  <si>
    <t>ควรรับประทานขณะท้องว่างจะดีที่สุด เพื่อลดอาการคลื่นไส้ อาเจียนจากยา ferrous</t>
  </si>
  <si>
    <t>Ferrous มีผลรบกวนการดูดซึมของ ofloxacin จึงต้องกินยา ferrous sulfate ก่อนหรือหลังกินยา ofloxacin 2 ชั่วโมง</t>
  </si>
  <si>
    <t>อาการข้างเคียงที่สำคัญ คือ ท้องเสีย คลื่นไส้ อาเจียน ferrous stone</t>
  </si>
  <si>
    <t>สามารถทานยา ferrous sulfate ร่วมกับ tetracycline เพื่อเพิ่มการดูดซึม ferrous</t>
  </si>
  <si>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</si>
  <si>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17 Pharma Plus เล่มม่วง (เฉลยข้อ ค)</t>
  </si>
  <si>
    <t>จากข้อมูลข้างต้น ท่านควรแนะนำให้ผู้ป่วยเลี่ยงการใช้ยาในข้อใด เพื่อป้องกันการเกิด hemolytic anemia</t>
  </si>
  <si>
    <t>Primaquine, Erythromycin</t>
  </si>
  <si>
    <t>Dapsone, Vitamin A</t>
  </si>
  <si>
    <t>Sulfasalazine, Erythromycin</t>
  </si>
  <si>
    <t>Dapsone, Penicillamine</t>
  </si>
  <si>
    <t>Sulfasalazine, Tetracycline</t>
  </si>
  <si>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</si>
  <si>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</si>
  <si>
    <t>Iron deficiency</t>
  </si>
  <si>
    <t>Uremia</t>
  </si>
  <si>
    <t>Liver steatosis</t>
  </si>
  <si>
    <t>Peripheral neuropathy</t>
  </si>
  <si>
    <t>Enlarged spleen</t>
  </si>
  <si>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</si>
  <si>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</si>
  <si>
    <t>ธาลัสซีเมียเป็นโรคพันธุกรรม ที่เกิดจากเม็ดเลือดแดงถูกทำลายได้ง่ายเนื่องจากการขาดเอนไซม์บางชนิด</t>
  </si>
  <si>
    <t>ธาลัสซีเมียเป็นโรคพันธุกรรม ที่มีระดับเหล็กในเลือดสูงเนื่องจากการแตกของเม็ดเลือดแดง</t>
  </si>
  <si>
    <t>ธาลัสซีเมียเป็นโรคพันธุกรรมที่เม็ดเลือดแดงมีโครงสร้างผิดปกติคล้ายรูปเสี้ยวพระจันทร์ ทำให้แตกง่าย</t>
  </si>
  <si>
    <t>ธาลัสซีเมียเป็นโรคที่เกิดจากความผิดปกติของระบบภูมิคุ้มกันที่เม็ดเลือดแดงถูกทำลายได้ง่าย</t>
  </si>
  <si>
    <t>ธาลัสซีเมียเป็นโรคโลหิตจาง ที่เกิดจากการขาดวิตามินที่ช่วยในการคงสภาพของเม็ดเลือดแดง</t>
  </si>
  <si>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</si>
  <si>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</si>
  <si>
    <t>สามารถรับประทานได้ เนื่องจากเป็นยาสามัญประจำบ้าน จึงมีความปลอดภัยสูง</t>
  </si>
  <si>
    <t>สามารถรับประทานได้ เนื่องจากมีวิตามินและสารอาหารที่สำคัญที่ช่วยบำรุงโลหิตลดอาการโลหิตจาง</t>
  </si>
  <si>
    <t>สามารถรับประทานได้เฉพาะเมื่อผู้ป่วยกำลังอยู่ในระหว่างการรักษาโรคธาลัสซีเมียจากแพทย์</t>
  </si>
  <si>
    <t>ไม่ควรรับประทาน เนื่องจากมีส่วนผสมของธาตุเหล็ก</t>
  </si>
  <si>
    <t>ไม่ควรรับประทาน เนื่องจากมีส่วนประกอบที่เกิด drug interaction กับยาที่ใช้รักษาประจำ</t>
  </si>
  <si>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</si>
  <si>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เภสัชกรแนะนำให้ผู้ป่วยระมัดระวังการใช้ยาตัวใดเป็นพิเศษ</t>
  </si>
  <si>
    <t>FBC</t>
  </si>
  <si>
    <t>Aminoglycosides</t>
  </si>
  <si>
    <t>Calcium supplements</t>
  </si>
  <si>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</si>
  <si>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ข้อแนะนำสำหรับวิธีการรักษาโรคธาลัสซีเมีย นอกเหนือจากการใช้ยารับประทาน</t>
  </si>
  <si>
    <t>ผู้ป่วยไม่ควรได้รับเลือดอย่างเด็ดขาด เนื่องจากมีโอกาสเกิด agglutination ของเม็ดเลือดแดงสูงกว่าปกติ</t>
  </si>
  <si>
    <t>ผู้ป่วยไม่ควรได้รับเลือดอย่างเด็ดขาด เนื่องจากมีความเสี่ยงต่อการติดเชื้อ</t>
  </si>
  <si>
    <t>ผู้ป่วยควรได้รับเลือด เพื่อช่วยเพิ่มปริมาณเม็ดเลือดแดง</t>
  </si>
  <si>
    <t>ผู้ป่วยควรออกกำลังกายสม่ำเสมอ เพื่อช่วยเพิ่มการสร้างเม็ดเลือดแดง</t>
  </si>
  <si>
    <t>ผู้ป่วยควรได้รับ erythropoietin เพื่อเร่งการสร้างเม็ดเลือดแดง</t>
  </si>
  <si>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</si>
  <si>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23 Pharma Plus เล่มม่วง (เฉลยข้อ ค)</t>
  </si>
  <si>
    <t>สถานการณ์ที่ 6 ผู้ป่วย CKD with IDA with DM with HTN อายุ 60 ปี หนัก 60 กิโลกรัม Scr = 2.5 mg/dl
ภาวะ Anemia ในผู้ป่วยรายนี้ ควรแก้ไขอย่างไร</t>
  </si>
  <si>
    <t>EPO</t>
  </si>
  <si>
    <t>Fresh Frozen Plasma</t>
  </si>
  <si>
    <t>Platelet concentrates</t>
  </si>
  <si>
    <t>Whole blood</t>
  </si>
  <si>
    <t>Leukocyte poor blood</t>
  </si>
  <si>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</si>
  <si>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สถานการณ์ที่ 7 ผู้ป่วยหญิง อายุ 41 ปี ตรวจเลือดแล้วพบว่า มี Hb = 9 mg/dl, Hct = 30%, ลักษณะเม็ดเลือดติดสีจางขนาดเล็ก
ผู้ป่วยรายนี้ ป่วยเป็นโรคใด</t>
  </si>
  <si>
    <t>Thalassemia</t>
  </si>
  <si>
    <t>Vitamin B6 deficiency anemia</t>
  </si>
  <si>
    <t>Vitamin B12 deficiency anemia</t>
  </si>
  <si>
    <t>Iron deficiency anemia</t>
  </si>
  <si>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</si>
  <si>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25 Pharma Plus เล่มม่วง (เฉลยข้อ จ)</t>
  </si>
  <si>
    <t>ผู้ป่วยรายนี้ ควรได้รับยาใด</t>
  </si>
  <si>
    <t>Cobalamine</t>
  </si>
  <si>
    <t>Deferoxamine</t>
  </si>
  <si>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</si>
  <si>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โรคใดต่อไปนี้ ห้ามใช้ยาเสริมธาตุเหล็กโดยเด็ดขาด</t>
  </si>
  <si>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</si>
  <si>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27 Pharma Plus เล่มม่วง (เฉลยข้อ ข)</t>
  </si>
  <si>
    <t>ข้อใดไม่ใช่ผลข้างเคียงหลักจากการใช้ยาเสริมธาตุเหล็ก</t>
  </si>
  <si>
    <t>อุจจาระดำ</t>
  </si>
  <si>
    <t>คลื่นไส้ อาเจียน</t>
  </si>
  <si>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</si>
  <si>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28 Pharma Plus เล่มม่วง (เฉลยข้อ จ)</t>
  </si>
  <si>
    <t>ข้อใดต่อไปนี้ เพิ่มการดูดซึมธาตุเหล็ก</t>
  </si>
  <si>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</si>
  <si>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29 Pharma Plus เล่มม่วง (เฉลยข้อ ง)</t>
  </si>
  <si>
    <t>ยาเพิ่มธาตุเหล็กในข้อต่อไปนี้ มีปริมาณเหล็กมากที่สุด</t>
  </si>
  <si>
    <t>Ferrous fumarate</t>
  </si>
  <si>
    <t>Ferrous gluconate</t>
  </si>
  <si>
    <t>Ferrous citrate</t>
  </si>
  <si>
    <t>Ferrous sulfate. 7H2O</t>
  </si>
  <si>
    <t>Anhydrous ferrous sulfate</t>
  </si>
  <si>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</si>
  <si>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</si>
  <si>
    <t>ติดสีจางกว่าปกติ</t>
  </si>
  <si>
    <t>ติดสีเข้มกว่าปกติ</t>
  </si>
  <si>
    <t>มีลักษณะโตกว่าปกติ</t>
  </si>
  <si>
    <t>รูปร่างบิดเบี้ยวไม่แน่นอน</t>
  </si>
  <si>
    <t>พบเศษของเม็ดเลือดแดงที่แตก</t>
  </si>
  <si>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</si>
  <si>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G6PD มีบทบาทต่อเม็ดเลือดแดงอย่างไร</t>
  </si>
  <si>
    <t>เปลี่ยนกลูโคสเป็นพลังงาน</t>
  </si>
  <si>
    <t>ป้องกันการเปลี่ยน Hgb เป็น methemoglobin</t>
  </si>
  <si>
    <t>คงสภาพของโครงสร้าง globin</t>
  </si>
  <si>
    <t>ทำให้ globin จับกับ tetraglobin</t>
  </si>
  <si>
    <t>ทำให้ ferrous จับกับ Hgb ได้</t>
  </si>
  <si>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</si>
  <si>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</si>
  <si>
    <t>ตั้งครรภ์</t>
  </si>
  <si>
    <t>ขาดสารอาหาร</t>
  </si>
  <si>
    <t>โรคริชสีดวง</t>
  </si>
  <si>
    <t>กรรมพันธุ์</t>
  </si>
  <si>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</si>
  <si>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ลักษณะของเม็ดเลือดเป็นอย่างไร</t>
  </si>
  <si>
    <t>เม็ดเลือดแดงติดสีเข้มและมีขนาดเล็ก</t>
  </si>
  <si>
    <t>เม็ดเลือดแดงติดสีจางและมีขนาดเล็ก</t>
  </si>
  <si>
    <t>เม็ดเลือดแดงติดสีจางและมีขนาดใหญ่</t>
  </si>
  <si>
    <t>เม็ดเลือดแดงติดสีเข้มและมีขนาดใหญ่</t>
  </si>
  <si>
    <t>เม็ดเลือดแดงติดสีเข้มและมีขนาดปกติ</t>
  </si>
  <si>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</si>
  <si>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34 Pharma Plus เล่มม่วง (เฉลยข้อ ข)</t>
  </si>
  <si>
    <t>ยาในข้อใดไม่เหมาะสมในผู้ป่วยรายนี้</t>
  </si>
  <si>
    <t>Cyanocobalamin</t>
  </si>
  <si>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</si>
  <si>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35 Pharma Plus เล่มม่วง (เฉลยข้อ ก ง)</t>
  </si>
  <si>
    <t>ยาตัวใดไม่มีผลต่อการดูดซึมธาตุเหล็ก</t>
  </si>
  <si>
    <t>Ascorbic acid</t>
  </si>
  <si>
    <t>Penicillamine</t>
  </si>
  <si>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</si>
  <si>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ยา ferrous sulfate ไม่ควรจ่ายให้ผู้ป่วยในข้อใด</t>
  </si>
  <si>
    <t>Thyrotoxicosis</t>
  </si>
  <si>
    <t>Leucopenia</t>
  </si>
  <si>
    <t>Thrombocytopenia</t>
  </si>
  <si>
    <t>Hemophilia</t>
  </si>
  <si>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</si>
  <si>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37 Pharma Plus เล่มม่วง (เฉลยข้อ ก)</t>
  </si>
  <si>
    <t>Ferrous supplement ตัวใด ที่มีปริมาณ elemental iron มากที่สุด</t>
  </si>
  <si>
    <t>Ferrous sulfate (exsiccated)</t>
  </si>
  <si>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</si>
  <si>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38 Pharma Plus เล่มม่วง (เฉลยข้อ ก)</t>
  </si>
  <si>
    <t>of oxidation is increased by the addition of alkali or by exposure to light. (ใช้ตอบข้อ 57-58)
ภาชนะใดเหมาะสมแก่การบรรจุ ferrous sulfate</t>
  </si>
  <si>
    <t>Tight container</t>
  </si>
  <si>
    <t>Children resist container</t>
  </si>
  <si>
    <t>Glass container</t>
  </si>
  <si>
    <t>Amber glass container</t>
  </si>
  <si>
    <t>Opaque plastic container</t>
  </si>
  <si>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</si>
  <si>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Mock PLE-CC 1 ข้อ 58</t>
  </si>
  <si>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</si>
  <si>
    <t>Folic acid 5 mg OD</t>
  </si>
  <si>
    <t>Vitamin B12 1000 mcg IM</t>
  </si>
  <si>
    <t>Deferoxamine 500 mg SC</t>
  </si>
  <si>
    <t>Erythropoietin 4000 units SC</t>
  </si>
  <si>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</si>
  <si>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Mock PLE-CC 1 ข้อ 59</t>
  </si>
  <si>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</si>
  <si>
    <t>Serum levels of folate and vitamin B12</t>
  </si>
  <si>
    <t>WBC</t>
  </si>
  <si>
    <t>Serum Albumin</t>
  </si>
  <si>
    <t>Serum Ferritin และ Transferrin Saturation</t>
  </si>
  <si>
    <t>Serum Ferritin และ Vitamin C</t>
  </si>
  <si>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</si>
  <si>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Mock PLE-CC 1 ข้อ 60</t>
  </si>
  <si>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</si>
  <si>
    <t>Hb เป็นตัวแปรเชิงกลุ่ม (categorical variable) เสมอ จึงควรใช้ Chi-square test ในการเปรียบเทียบระหว่างเพศ</t>
  </si>
  <si>
    <t>Hb เป็นตัวแปรเชิงจำนวน (continuous variable) และควรใช้ Paired-T test ในการเปรียบเทียบระหว่างเพศ</t>
  </si>
  <si>
    <t>หากจำแนก Hb เป็นกลุ่ม สามารถใช้ Chi-square test ในการศึกษาความสัมพันธ์ระหว่างเพศ</t>
  </si>
  <si>
    <t>Hb เป็นข้อมูลเชิงจำนวน แต่ควรใช้ Mann-Whitney U Test ในการวิเคราะห์เนื่องจากข้อมูลทางชีววิทยามักไม่ปกติ</t>
  </si>
  <si>
    <t>Hb เป็นตัวแปร ordinal เนื่องจากมีค่าจากต ่าไปสูง</t>
  </si>
  <si>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</si>
  <si>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Mock PLE-CC 1 ข้อ 65</t>
  </si>
  <si>
    <t>ผู้ป่วยรายนี้เป็นโลหิตจางประเภทใด</t>
  </si>
  <si>
    <t>megaloblastic anemia</t>
  </si>
  <si>
    <t>hemolytic anemia</t>
  </si>
  <si>
    <t>microcytic anemia</t>
  </si>
  <si>
    <t>macrocytic anemia</t>
  </si>
  <si>
    <t>aplastic anemia</t>
  </si>
  <si>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</si>
  <si>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PLE_CC1_2567_Key ข้อ 33</t>
  </si>
  <si>
    <t>แพทย์ต้องการให้ได้ elemental iron 180-200 mg จ่าย ferrous sulfate เท่าไร (MW: FeSO4 7H2O = 278, Fe = 56)</t>
  </si>
  <si>
    <t>100x3</t>
  </si>
  <si>
    <t>300x3</t>
  </si>
  <si>
    <t>100x4</t>
  </si>
  <si>
    <t>200x2</t>
  </si>
  <si>
    <t>200x3 PLE-PC1 Preparation 2567</t>
  </si>
  <si>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</si>
  <si>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PLE_CC1_2567_Key ข้อ 34</t>
  </si>
  <si>
    <t>Ferrous Sulfate 7H2O หาน้ำในตำรับต้องใช้วิธีทดสอบใด</t>
  </si>
  <si>
    <t>KARL FISHER</t>
  </si>
  <si>
    <t>Loss on drying</t>
  </si>
  <si>
    <t>จำ choice ไม่ได้</t>
  </si>
  <si>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ตัวเลือกนี้เป็นข้อความระบุว่าจำตัวเลือกไม่ได้ จึงไม่ใช่หลักการทางวิทยาศาสตร์ในการทดสอบปริมาณน้ำในตำรับยา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</si>
  <si>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PLE_CC1_2567_Key ข้อ 35</t>
  </si>
  <si>
    <t>ผู้ป่วยรายนี้ควรจัดการอย่างไร เดิมใช้ยา HCTZ ตัวเดียว</t>
  </si>
  <si>
    <t>หยุด HCTZ เพิ่ม enalapril</t>
  </si>
  <si>
    <t>เพิ่มขนาด HCTZ เป็น 1x2</t>
  </si>
  <si>
    <t>หยุด HCTZ เพิ่ม CCB</t>
  </si>
  <si>
    <t>เปลี่ยน HCTZ เป็น carvedilol</t>
  </si>
  <si>
    <t>ใช้ HCTZ เท่าเดิม แต่เพิ่ม amlodipine</t>
  </si>
  <si>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</si>
  <si>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PLE_CC1_2567_Key ข้อ 82</t>
  </si>
  <si>
    <t>โรคนี้ให้รักษาด้วยการใช้น้ำตาเทียม</t>
  </si>
  <si>
    <t>ยาป้ายตาสามารถป้ายได้ขณะสวมคอนแทคเลนส์</t>
  </si>
  <si>
    <t>สามารถล้างคอนแทคเลนส์ด้วยน้ำเปล่าทุกวัน</t>
  </si>
  <si>
    <t>โรคนี้สามารถหายได้เองโดยไม่ต้องพบแพทย์</t>
  </si>
  <si>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</si>
  <si>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</si>
  <si>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PLE_CC1_2567_Set1_Key ข้อ 35</t>
  </si>
  <si>
    <t>เพศหญิงโลหิตจางค่าHb ตัวเลือก</t>
  </si>
  <si>
    <t>Ferrous sulfate 300 mg TID</t>
  </si>
  <si>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</si>
  <si>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PLE-CC1 ปี 2566 Day 1 ข้อ 22</t>
  </si>
  <si>
    <t>ให้สมการเคมีมาแล้วถามว่าเป็นการtitrate แบบใด ตัวเลือก(น่าจะเป็นCerium กับFerrous)</t>
  </si>
  <si>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</si>
  <si>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PLE-CC1 ปี 2566 Day 1 ข้อ 24</t>
  </si>
  <si>
    <t>โรคอ้วน, การดื่มแอลกอฮอล์, HCTZ</t>
  </si>
  <si>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</si>
  <si>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PLE-CC1 ปี 2566 Day 1 ข้อ 4</t>
  </si>
  <si>
    <t>ขอใดคือกลไกของยา HCTZ</t>
  </si>
  <si>
    <t>ยับยั้ง Na/K/2Cl ที่ loop of Henle</t>
  </si>
  <si>
    <t>ยับยั้งการดูดกลับ Na ที่ collecting duct</t>
  </si>
  <si>
    <t>ลดการดูดกลับ Na ที่ distal loop</t>
  </si>
  <si>
    <t>ยับยั้ง Na/Cl cotransporter</t>
  </si>
  <si>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</si>
  <si>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</si>
  <si>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PLE_CC1_2565_Day1_Key ข้อ 5</t>
  </si>
  <si>
    <t>สารใดช-วยดูดซึมเหล็กดีที่สุด macrocytic anemia microcytic hypochromic anemia + occult blood positive → Iron deﬁciency anemia iron overload ใWใน CKD-related anemia (Z[วย \งไAเLน CKD) macrocytic anemia</t>
  </si>
  <si>
    <t>B6</t>
  </si>
  <si>
    <t>vitamin c</t>
  </si>
  <si>
    <t>vitamin d</t>
  </si>
  <si>
    <t>Ca</t>
  </si>
  <si>
    <t>zinc</t>
  </si>
  <si>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</si>
  <si>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PLE_CC1_2565_Day2_Key ข้อ 13</t>
  </si>
  <si>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</si>
  <si>
    <t>7 วัน</t>
  </si>
  <si>
    <t>1 เดือน</t>
  </si>
  <si>
    <t>1 ปç</t>
  </si>
  <si>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</si>
  <si>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PLE_CC1_2565_Day2_Key ข้อ 14</t>
  </si>
  <si>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</si>
  <si>
    <t>vitB12 IV</t>
  </si>
  <si>
    <t>VitB12 PO</t>
  </si>
  <si>
    <t>จำ choice ไม-ได$</t>
  </si>
  <si>
    <t>จำ choice ไม-ได$  กรณีศึกษา 4 ให$ค-า Lab มา K=5.5, Ca =10.5 (ค-าปกติ 8.5-10.5) , PO4 = สูงกว-าค-าปกติ</t>
  </si>
  <si>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(จำ choice ไม-ได$): ตัวเลือกนี้เป็นข้อสอบที่ไม่สมบูรณ์จากความจำของผู้เข้าสอบ ซึ่งไม่มีเนื้อหาทางวิทยาศาสตร์เภสัชกรรมที่นำมาวิเคราะห์ได้
• ข้อ ง. (จำ choice ไม-ได$): ตัวเลือกนี้เป็นข้อสอบที่ไม่สมบูรณ์จากความจำของผู้เข้าสอบ ซึ่งไม่มีเนื้อหาทางเภสัชกรรมที่สามารถใช้เป็นคำตอบที่ถูกต้องได้
• ข้อ จ. (จำ choice ไม-ได$  กรณีศึกษา 4 ให$ค-า Lab มา K=5.5, Ca =10.5 (ค-าปกติ 8.5-10.5) , PO4 = สูงกว-าค-าปกติ): ตัวเลือกนี้เป็นข้อความระบุว่าจำตัวเลือกไม่ได้ จึงไม่ใช่หลักการทางวิทยาศาสตร์ในการรักษาภาวะโลหิตจาง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</si>
  <si>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PLE_CC1_2565_Day2_Key ข้อ 15</t>
  </si>
  <si>
    <t>Anemia (Ferrous def, B12 def)</t>
  </si>
  <si>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</si>
  <si>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เป้าหมาย Hb ในการรักษาโลหิตจางของผู้หญิง</t>
  </si>
  <si>
    <t>12-16 mg/dL</t>
  </si>
  <si>
    <t>13-17 mg/dL</t>
  </si>
  <si>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</si>
  <si>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PLE_CC1_2564_All_Key ข้อ 45</t>
  </si>
  <si>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</si>
  <si>
    <t>prokinetic drug</t>
  </si>
  <si>
    <t>H2-receptor antagonists</t>
  </si>
  <si>
    <t>Proton pump inhibitors</t>
  </si>
  <si>
    <t>H2-receptor antagonists ร่วมกับ Prokinetic drugs</t>
  </si>
  <si>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</si>
  <si>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PLE_CC1_2564_All_Key ข้อ 104</t>
  </si>
  <si>
    <t>คู่ยาใดที่เกิด DI ที่มีความสำคัญทางคลินิกมากสุด X -sim X x high high - Ator ~ X i -environ myopathy 12 X rhabdo 289 M . G72 X</t>
  </si>
  <si>
    <t>Simvastatin + gemfibrozil</t>
  </si>
  <si>
    <t>Omeprazole + clopidrogrel</t>
  </si>
  <si>
    <t>Clopidrogrel + aspirin</t>
  </si>
  <si>
    <t>Simvastatin + amlodipine</t>
  </si>
  <si>
    <t>Aspirin + clopidrogrel</t>
  </si>
  <si>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</si>
  <si>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68 (PLE_CC1_2562_Key.md)</t>
  </si>
  <si>
    <t>ผูป%วยรายนี้น!าจะเกิดภาวะโลหิตจางจากสาเหตุใด</t>
  </si>
  <si>
    <t>โรคเรื้อรัง</t>
  </si>
  <si>
    <t>ขาดโฟเลต</t>
  </si>
  <si>
    <t>ขาดธาตุเหล็ก</t>
  </si>
  <si>
    <t>ขาดวิตามินบี 12</t>
  </si>
  <si>
    <t>เม็ดเลือดแดงแตก</t>
  </si>
  <si>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</si>
  <si>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12 (PLE_CC1_2561_Key.md)</t>
  </si>
  <si>
    <t>ขอใดคือคำแนะนำในการรับประทานยา ferrous sulfate</t>
  </si>
  <si>
    <t>ยาทำใหปtสสาวะสีเหลืองเขม</t>
  </si>
  <si>
    <t>หามรับประทานร!วมกับน้ำผลไม</t>
  </si>
  <si>
    <t>หากถ!ายดำไม!ตองตกใจ เปEนเพราะตัวยา</t>
  </si>
  <si>
    <t>รับประทานพรอมกับนมช!วยเพิ่มการดูดซึม</t>
  </si>
  <si>
    <t>รับประทานพรอมกับอาหารจะเพิ่มการดูดซึม t</t>
  </si>
  <si>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</si>
  <si>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15 (PLE_CC1_2561_Key.md)</t>
  </si>
  <si>
    <t>ขอใดคือผลขางเคียงจากยา ferrous sulfate</t>
  </si>
  <si>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</si>
  <si>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14 (PLE_CC1_2561_Key.md)</t>
  </si>
  <si>
    <t>ส!วนประกอบของสูตรเคลือบฟuลTมของยา ferrous sulfate ขอใด ถูกตอง</t>
  </si>
  <si>
    <t>Talcum ทำหนาที่เปEนสารก!อฟuลTม</t>
  </si>
  <si>
    <t>Ethyl alcohol ทำหนาที่เปEน antioxidant</t>
  </si>
  <si>
    <t>Propylene glycol ทำหนาที่เปEน plasticizer</t>
  </si>
  <si>
    <t>Titanium dioxide ทำหนาที่เปEน สารก!อฟuลTม</t>
  </si>
  <si>
    <t>Hydroxymethylpropyl cellulose ทำหนาที่เปEนสารทึบ แสง</t>
  </si>
  <si>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</si>
  <si>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16 (PLE_CC1_2561_Key.md)</t>
  </si>
  <si>
    <t>การสังเคราะห์ HCTZ จงระบุว่า A คือข้อใด</t>
  </si>
  <si>
    <t>H-CO-H</t>
  </si>
  <si>
    <t>H-CO-OH</t>
  </si>
  <si>
    <t>Cl-C-Cl</t>
  </si>
  <si>
    <t>C-CO-H 18 MCQ11 2/2560 By CU Rx73 MCQ11 2/2560 By CU Rx73</t>
  </si>
  <si>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</si>
  <si>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7 (PLE_CC1_2560 22 April Set 2.md)</t>
  </si>
  <si>
    <t>ข้อใดถูกเกี่ยวกับโครงสร้างยา spironolactone กับ canrenone ---------------------------→</t>
  </si>
  <si>
    <t>ตัวยาออกฤทธิ์โดยจับกับ receptor ภายนอกของ Henle loop</t>
  </si>
  <si>
    <t>ถ้า lactone ring เปิดออก จะได้สารที่ มีฤทธิ์</t>
  </si>
  <si>
    <t>Canrenone เป็น inactive metabolite</t>
  </si>
  <si>
    <t>Spironolactone มีความเป็น lipophilic ต่ำกว่า canrenone</t>
  </si>
  <si>
    <t>Spironolactone มีฤทธิ์น้อยกว่า canrenone ห้ามนำไปทำซ้ำทุกกรณี เว้นแต่จะได้รับอนุญาต</t>
  </si>
  <si>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</si>
  <si>
    <t>ข้อ 91 (PLE_CC1_2558_Key.md)</t>
  </si>
  <si>
    <t>Ferrous sulfate กระปุกละ 100 เม็ด เป็นยาประเภทใด</t>
  </si>
  <si>
    <t>ยาเสพติดให้โทษ ประเภทที่ 3</t>
  </si>
  <si>
    <t>วัตถุออกฤทธิ์ต่อจิตและประสาท ประเภท 3</t>
  </si>
  <si>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</si>
  <si>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</si>
  <si>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4 (LAW-CU-71.md)</t>
  </si>
  <si>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</si>
  <si>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</si>
  <si>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67 (PLE_CC1_2557.md)</t>
  </si>
  <si>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</si>
  <si>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ข้อใดเป็นกลไกของHCTZ</t>
  </si>
  <si>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</si>
  <si>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จากโครงสร้างของยา HCTZ สามารถวิเคราะห์หาหมู่โครงสร้างได้โดยวิธีการใด</t>
  </si>
  <si>
    <t>Finger print จาก FTIR</t>
  </si>
  <si>
    <t>Chromatogram จาก TLC</t>
  </si>
  <si>
    <t>UV</t>
  </si>
  <si>
    <t>..............</t>
  </si>
  <si>
    <t>.................</t>
  </si>
  <si>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</si>
  <si>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32 (PLE_CC1_2555 Day 1.md)</t>
  </si>
  <si>
    <t>ได้รับยา HCTZ เพิ่มขึ้น</t>
  </si>
  <si>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</si>
  <si>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3 (PLE_CC1_2555 Day 2.md)</t>
  </si>
  <si>
    <t>Fe รูปเกลือใดที่ให้ elemental iron มากที่สุด</t>
  </si>
  <si>
    <t>fumarate</t>
  </si>
  <si>
    <t>sulfate</t>
  </si>
  <si>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</si>
  <si>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</si>
  <si>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</si>
  <si>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</si>
  <si>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6 (PLE_CC1_2554 SET2.md)</t>
  </si>
  <si>
    <t>ข้อใดไม่เกี่ยวกับการเกิดภาวะโลหิตจางในครั้งนี้</t>
  </si>
  <si>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</si>
  <si>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ชะพลู (5) (มีเพื่อนบอกว่าชะพลู มี Ca เยอะ จะลดการดูดซึมธาตุเหล็ก)</t>
  </si>
  <si>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</si>
  <si>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Progesterone ในผลิตภัณฑ์ยาคุมกำเนิดใดจัดอยู่ในกลุ่ม spironolactone derivative</t>
  </si>
  <si>
    <t>Levonorgestrel</t>
  </si>
  <si>
    <t>Cyprosterone acetate</t>
  </si>
  <si>
    <t>Gestrodene</t>
  </si>
  <si>
    <t>Desogestrel</t>
  </si>
  <si>
    <t>Drospirenone</t>
  </si>
  <si>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</si>
  <si>
    <t>ข้อใดไม่ใช่ยาเสริมธาตุเหล็กในรูปแบบยาฉีด</t>
  </si>
  <si>
    <t>Iron dextran</t>
  </si>
  <si>
    <t>Iron sucrose complex</t>
  </si>
  <si>
    <t>iron sodium gluconate complex</t>
  </si>
  <si>
    <t>ferrous fumarate</t>
  </si>
  <si>
    <t>ทุกข้อเป็นยาฉีด 31.ข้อใดไม่ใช่อาการข้างเคียงจากการได้รับยาเสริมธาตุเหล็กรูปแบบยาฉีด</t>
  </si>
  <si>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</si>
  <si>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Spironolactone ออกฤทธิ์ที่collecting tubule</t>
  </si>
  <si>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</si>
  <si>
    <t>การได้รับยา HCTZ</t>
  </si>
  <si>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</si>
  <si>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Spironalactone ใน AKI จะใช้ Loop diuretics</t>
  </si>
  <si>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</si>
  <si>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HCTZ ยับยั้งการดูดกลับของน้ำที่ collecting duct</t>
  </si>
  <si>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</si>
  <si>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ต่อมาแพทย์สั่งจ่ายยา HCTZ 25 mg 1x1 เภสัชกรควรติดตามค่าทางห้องปฏิบัติการใดของผู้ป่วย</t>
  </si>
  <si>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</si>
  <si>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7.ยา HCTZ เป็นยาที่จัดอยู่ใน BSC class 3 หมายถึงอะไร</t>
  </si>
  <si>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</si>
  <si>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8.ยา HCTZ เป็นยาที่ต้องควบคุมคุณภาพ ตาม USP ข้อใด</t>
  </si>
  <si>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</si>
  <si>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ปรับขนาด HCTZ ขึ้น</t>
  </si>
  <si>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</si>
  <si>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ferrous sulfate</t>
  </si>
  <si>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</si>
  <si>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ferrous anhydrous sulphate ซึ่งตามคำแนะนำถ้าผู้ป่วยมี Hb&lt;10 g/dl สามารถพิจารณาให้ ESA ได้</t>
  </si>
  <si>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</si>
  <si>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ผู้ป่วยต้องรับการรักษาแบบใดเพื่อรักษาภาวะโลหิตจาง</t>
  </si>
  <si>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</si>
  <si>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เพิ่มขนาดยา HCTZ</t>
  </si>
  <si>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</si>
  <si>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60. สารพฤกษาเคมีที่มีผลรบกวนการดูดซึมธาตุเหล็ก</t>
  </si>
  <si>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</si>
  <si>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โรคโลหิตจางธาลัสซีเมีย เกิดจากความผิดปกติใด</t>
  </si>
  <si>
    <t>เกิดจากการขาดฮอร_โมน Erythropoietin ทำให$การสร$างเม็ดเลือดแดงไมGสมบูรณ_</t>
  </si>
  <si>
    <t>เกิดจากการขาดเหล็กทำให$การสร$างเม็ดเลือดแดงไมGสมบูรณ_</t>
  </si>
  <si>
    <t>เกิดจากการขาด Cyanocobalamin ทำให$การสร$างเม็ดเลือดแดงไมGสมบูรณ_</t>
  </si>
  <si>
    <t>เกิดจากการสร$างสาย Hb ที่ผิดปกติ</t>
  </si>
  <si>
    <t>เกิดจากรGางกายมีภาวะพรGองเอนไซม_ G6PD Globin ของ Hb (Heme+Globin)</t>
  </si>
  <si>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</si>
  <si>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82 (PLE_CC1_Key_Rx20_UBU.md)</t>
  </si>
  <si>
    <t>การวินิจฉัยภาวะโลหิตจางธาลัสซีเมียวินิจฉัยจากอะไร</t>
  </si>
  <si>
    <t>% Iron</t>
  </si>
  <si>
    <t>Hb typing</t>
  </si>
  <si>
    <t>PBS (Peripheral blood smear)</t>
  </si>
  <si>
    <t>ขอแย5งนะคะ คิดว=าควรตอบ ค. Hb typing</t>
  </si>
  <si>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</si>
  <si>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 83 (PLE_CC1_Key_Rx20_UBU.md)</t>
  </si>
  <si>
    <t>Desogestrel สามารถลดการบวมน้ำได้เนื่องจากเป็นอนุพันธ์ของ spironoolactone</t>
  </si>
  <si>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</si>
  <si>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HCTZ และ spironolactone</t>
  </si>
  <si>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</si>
  <si>
    <t>HCTZ https://www.livestrong.com/article/313917-calcium-channel-blockers-gerd/</t>
  </si>
  <si>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</si>
  <si>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Ferrous sulfate 200 mg 1 tab tid 90</t>
  </si>
  <si>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</si>
  <si>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Hb &lt; 13 หรือ Hct &lt; 41% ในผู้ชาย</t>
  </si>
  <si>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</si>
  <si>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</si>
  <si>
    <t>เหนื่อย</t>
  </si>
  <si>
    <t>ใจสั่น</t>
  </si>
  <si>
    <t>ชาปลายเท้า</t>
  </si>
  <si>
    <t>ปวดศีรษะ</t>
  </si>
  <si>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</si>
  <si>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</si>
  <si>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Lab ใดที่ไม่บ่งบอกภาวะ Iron deficiency anemia</t>
  </si>
  <si>
    <t>MCV</t>
  </si>
  <si>
    <t>Ferritin</t>
  </si>
  <si>
    <t>TSAT</t>
  </si>
  <si>
    <t>TIBC</t>
  </si>
  <si>
    <t>Reticulocyte count</t>
  </si>
  <si>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</si>
  <si>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</si>
  <si>
    <t>Normochromic microcytic anemia</t>
  </si>
  <si>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</si>
  <si>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31 (Pharmtutor_2024_Set2.md)</t>
  </si>
  <si>
    <t>โรคทางระบบเลือด</t>
  </si>
  <si>
    <t>ข้อใดไม่ใช่ปัญหาของผู้ป่วยรายนี้</t>
  </si>
  <si>
    <t>Uncontrolled hypertension</t>
  </si>
  <si>
    <t>Acidosis</t>
  </si>
  <si>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</si>
  <si>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12 (PLE_CC1_Practice_Exam.md)</t>
  </si>
  <si>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</si>
  <si>
    <t>0.60 ml/hr</t>
  </si>
  <si>
    <t>0.75 ml/hr</t>
  </si>
  <si>
    <t>0.80 ml/hr</t>
  </si>
  <si>
    <t>0.85 ml/hr</t>
  </si>
  <si>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</si>
  <si>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</si>
  <si>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85 (PLE_CC1_Key_Rx20_UBU.md)</t>
  </si>
  <si>
    <t>หลังจากผู$ป&amp;วยได$รับยา Deferoxamine แล$วผู$ป&amp;วยมีป[สสาวะเปญนสีชมพูแดง ลักษณะดังกลGาวเกิดจากสาเหตุใด</t>
  </si>
  <si>
    <t>เปญนภาวะโรคของผู$ป&amp;วยอยูGแล$ว</t>
  </si>
  <si>
    <t>เปญนสีของ Deferoxamine ที่ขับออกมาทางป[สสาวะ</t>
  </si>
  <si>
    <t>เปญนสีของ Deferoxamine-Fe complex ที่ขับออกมาทางป[สสาวะ</t>
  </si>
  <si>
    <t>Amlodipine 5 mg OD</t>
  </si>
  <si>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</si>
  <si>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จากโครงสร$างของ Deferoxamine หมูGฟ[งก_ชันใดที่เข$าจับกับเหล็ก</t>
  </si>
  <si>
    <t>Nitro carbamate</t>
  </si>
  <si>
    <t>Nitro-carbonyl</t>
  </si>
  <si>
    <t>…Carbamate</t>
  </si>
  <si>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</si>
  <si>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87 (PLE_CC1_Key_Rx20_UBU.md)</t>
  </si>
  <si>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</si>
  <si>
    <t>HRIG คู่กับ tetanus วัคซีน</t>
  </si>
  <si>
    <t>ERIG คู่กับ tetanus วัคซีน</t>
  </si>
  <si>
    <t>HRIG คู่กับ pertussis วัคซีน</t>
  </si>
  <si>
    <t>HRIG คู่กับ ERIG</t>
  </si>
  <si>
    <t>ไม่ต้องฉีดเพิ่มแล้ว</t>
  </si>
  <si>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</si>
  <si>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EPI Vaccines</t>
  </si>
  <si>
    <t>ข้อ 1 Pharma Plus เล่มม่วง (เฉลยข้อ ก ข)</t>
  </si>
  <si>
    <t>วัคซีนพิษสุนัขบ้าเป็นเชื้อชนิดใด</t>
  </si>
  <si>
    <t>Live attenuated vaccine</t>
  </si>
  <si>
    <t>Toxoids</t>
  </si>
  <si>
    <t>Killed vaccine</t>
  </si>
  <si>
    <t>Subunit</t>
  </si>
  <si>
    <t>Immunoglobulin</t>
  </si>
  <si>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</si>
  <si>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แม่ต้องพาลูกมาฉีดกี่ครั้ง</t>
  </si>
  <si>
    <t>Montelukast 10 mg HS</t>
  </si>
  <si>
    <t>Hydroxyzine 25 mg HS</t>
  </si>
  <si>
    <t>Diphenhydramine 25 mg IV</t>
  </si>
  <si>
    <t>Loratadine 10 mg OD</t>
  </si>
  <si>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</si>
  <si>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ถ้าครั้งที่ 2 ของการฉีดวัคซีน เด็กไม่สามารถมาตามตารางนัดได้ ข้อใดสามารถทำได้เพื่อให้เด็กมีภูมิคุ้มกันอยู่</t>
  </si>
  <si>
    <t>ให้มารับการฉีดวัคซีนก่อนกำหนด 1 วัน</t>
  </si>
  <si>
    <t>ให้มารับการฉีดวัคซีนครั้งที่ 3 แทน</t>
  </si>
  <si>
    <t>เริ่มต้นการฉีดวัคซีนใหม่</t>
  </si>
  <si>
    <t>ให้มารับการฉีดวัคซีนหลังกำหนดให้เร็วที่สุด</t>
  </si>
  <si>
    <t>ให้มารับการฉีดวัคซีนหลังกำหนด 5 วัน</t>
  </si>
  <si>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</si>
  <si>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</si>
  <si>
    <t>ฉีดใหม่ทั้งชุด 5 เข็ม</t>
  </si>
  <si>
    <t>ไม่ต้องฉีดวัคซีน</t>
  </si>
  <si>
    <t>ฉีดซ้ำใหม่เพียงหนึ่งเข็ม</t>
  </si>
  <si>
    <t>ฉีดวัคซีนอีกสองเข็ม</t>
  </si>
  <si>
    <t>แล้วแต่กรณี</t>
  </si>
  <si>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</si>
  <si>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ข้อใดผิดเกี่ยวกับชีววัตถุ</t>
  </si>
  <si>
    <t>เป็นวัตถุที่สังเคราะห์ทางเคมีได้ง่าย</t>
  </si>
  <si>
    <t>ตัวอย่างของชีววัตถุ คือ antitoxins , bacterial vaccines , blood products , hormone extracts</t>
  </si>
  <si>
    <t>Insulin จัดเป็นชีววัตถุ</t>
  </si>
  <si>
    <t>วัตถุที่ได้จากสิ่งมีชีวิตและใช้สำหรับป้องกันหรือรักษาโรค</t>
  </si>
  <si>
    <t>ไม่มีข้อผิด</t>
  </si>
  <si>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</si>
  <si>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Allergic rhinitis</t>
  </si>
  <si>
    <t>วัตถุประสงค์ในการเติม adjuvant คือข้อใด</t>
  </si>
  <si>
    <t>เพื่อเพิ่มการละลาย</t>
  </si>
  <si>
    <t>ทำให้ไวรัสอ่อนฤทธิ์ลง</t>
  </si>
  <si>
    <t>เพื่อเพิ่มความคงตัว</t>
  </si>
  <si>
    <t>เพื่อเป็นสารต้านจุลชีพ</t>
  </si>
  <si>
    <t>เพื่อเพิ่มการตอบสนองต่อภูมิคุ้มกัน</t>
  </si>
  <si>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</si>
  <si>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7 Pharma Plus เล่มม่วง (เฉลยข้อ จ)</t>
  </si>
  <si>
    <t>หากท่านเป็นเภสัชกรณ์ ท่านจะเก็บวัคซีนใดในช่องแช่แข็ง เพื่อเพิ่มอายุยาให้นานขึ้น</t>
  </si>
  <si>
    <t>DTP</t>
  </si>
  <si>
    <t>OPV</t>
  </si>
  <si>
    <t>HBV</t>
  </si>
  <si>
    <t>Typhoid vaccine</t>
  </si>
  <si>
    <t>Rabies vaccine</t>
  </si>
  <si>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</si>
  <si>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ข้อใดไม่ใช่ live-attenuated vaccine</t>
  </si>
  <si>
    <t>BCG</t>
  </si>
  <si>
    <t>MMR</t>
  </si>
  <si>
    <t>Varicella vaccine</t>
  </si>
  <si>
    <t>Polio</t>
  </si>
  <si>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</si>
  <si>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Hypersensitivity</t>
  </si>
  <si>
    <t>วัคซีนใดไม่ได้อยู่ในโปรแกรมเสริมสร้างภูมิคุ้มกัน</t>
  </si>
  <si>
    <t>หัด</t>
  </si>
  <si>
    <t>คางทูม</t>
  </si>
  <si>
    <t>โปลิโอ</t>
  </si>
  <si>
    <t>อีสุกอีใส</t>
  </si>
  <si>
    <t>บาดทะยัก</t>
  </si>
  <si>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</si>
  <si>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10 Pharma Plus เล่มม่วง (เฉลยข้อ ง)</t>
  </si>
  <si>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</si>
  <si>
    <t>BCG และ HBV</t>
  </si>
  <si>
    <t>BCG และ OPV</t>
  </si>
  <si>
    <t>OPV และ MMR</t>
  </si>
  <si>
    <t>HBV และ MMR</t>
  </si>
  <si>
    <t>DTP และ OPV</t>
  </si>
  <si>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</si>
  <si>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</si>
  <si>
    <t>IPV vaccine</t>
  </si>
  <si>
    <t>MMR vaccine</t>
  </si>
  <si>
    <t>HBV vaccine</t>
  </si>
  <si>
    <t>Haemophilus influenzae B vaccine</t>
  </si>
  <si>
    <t>Japanese encephalitis vaccine</t>
  </si>
  <si>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</si>
  <si>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ควรฉีดวัคซีนที่กล้ามเนื้อชนิดใด</t>
  </si>
  <si>
    <t>Deltoid</t>
  </si>
  <si>
    <t>Gluteus maximus</t>
  </si>
  <si>
    <t>Gluteus medis</t>
  </si>
  <si>
    <t>Gastrocnemius</t>
  </si>
  <si>
    <t>Anterolateral</t>
  </si>
  <si>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</si>
  <si>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การฉีดวัคซีนกระตุ้นเข็มแรก จะมี antibody ชนิดใดเริ่มสร้างตัวแรก</t>
  </si>
  <si>
    <t>Immunoglobulin A</t>
  </si>
  <si>
    <t>Immunoglobulin D</t>
  </si>
  <si>
    <t>Immunoglobulin E</t>
  </si>
  <si>
    <t>Immunoglobulin G</t>
  </si>
  <si>
    <t>Immunoglobulin M</t>
  </si>
  <si>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</si>
  <si>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14 Pharma Plus เล่มม่วง (เฉลยข้อ จ)</t>
  </si>
  <si>
    <t>ข้อใดผิดเกี่ยวกับการให้วัคซีนในเด็ก</t>
  </si>
  <si>
    <t>วัคซีนที่มีชีวิตสามารถให้พร้อมกันในวันเดียวกันได้</t>
  </si>
  <si>
    <t>ถ้าฉีดวัคซีนในวันนัดไม่ได้ ให้มาก่อนจะได้กว่ามาฉีดช้ากว่ากำหนด</t>
  </si>
  <si>
    <t>วัคซีนชนิดกินเป็น IgA</t>
  </si>
  <si>
    <t>ถ้าเด็กเป็นไข้สูงยังไม่ฉีดวัคซีนให้ แต่ถ้าเป็นหวัด ไอ สามารถให้วัคซีนได้</t>
  </si>
  <si>
    <t>ในการฉีดวัคซีนครั้งที่ 2,3 สามารถเปลี่ยนยี่ห้อบริษัทอื่นได้ถ้าจำเป็น</t>
  </si>
  <si>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</si>
  <si>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15 Pharma Plus เล่มม่วง (เฉลยข้อ ข ค)</t>
  </si>
  <si>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</si>
  <si>
    <t>ทำความสะอาดด้วย alcohol 70% วันละ 2 ครั้ง</t>
  </si>
  <si>
    <t>ไม่ต้องใส่ยาหรือปิดแผล ให้เช็ดด้วยสำลีชุบน้ำสะอาดก็เพียงพอ</t>
  </si>
  <si>
    <t>ใช้เข็มสะอาดเจาะฝีให้แตก แล้วทาด้วย povidone iodine วันละ 2 ครั้ง</t>
  </si>
  <si>
    <t>เมื่อฝีแตกให้เอาพาสเตอร์ปิดแผลไว้ เพื่อป้องกันแผลสกปรกและติดเชื้อ</t>
  </si>
  <si>
    <t>จ่ายยา cloxacillin syrup เพื่อรักษาฝี โดยให้รับประทานเป็นเวลา 1 สัปดาห์</t>
  </si>
  <si>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</si>
  <si>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</si>
  <si>
    <t>ต้องตั้งต้นฉีดเข็มที่ 1 ใหม่ เพราะเลยเวลานัดแล้ว</t>
  </si>
  <si>
    <t>ต้องตั้งต้นฉีดเข็มที่ 1 ใหม่ และเป็นวัคซีนคนละบริษัท</t>
  </si>
  <si>
    <t>สามารถฉีดเข็มที่ 2 ต่อได้เลย แต่ต้องไปฉีดที่โรงพยาบาลเดิมเพื่อที่จะได้รับวัคซีนของบริษัทเดิม</t>
  </si>
  <si>
    <t>สามารถฉีดเข็มที่ 2 ต่อได้เลย และวัคซีนคนละบริษัทสามารถใช้แทนกันได้</t>
  </si>
  <si>
    <t>ให้งดฉีดเข็มที่ 2 ไปเลย และให้ไปฉีดเข็มที่ 3 ตอนบุตรชายอายุ 6 เดือน</t>
  </si>
  <si>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</si>
  <si>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17 Pharma Plus เล่มม่วง (เฉลยข้อ ง)</t>
  </si>
  <si>
    <t>วัคซีนชนิดใดมีวิธีการบริหารโดยให้ทางปาก</t>
  </si>
  <si>
    <t>Hib</t>
  </si>
  <si>
    <t>Influenza vaccine</t>
  </si>
  <si>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</si>
  <si>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วัคซีนชนิดใดที่เมื่อได้รับแล้วจะมีโอกาสเป็นไข้น้อยที่สุด</t>
  </si>
  <si>
    <t>Tetanus toxoid</t>
  </si>
  <si>
    <t>Rabies vaccines</t>
  </si>
  <si>
    <t>Phenol killed typhoid vaccine</t>
  </si>
  <si>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</si>
  <si>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19 Pharma Plus เล่มม่วง (เฉลยข้อ ก)</t>
  </si>
  <si>
    <t>ผู้ป่วยภูมิคุ้มกันบกพร่องไม่ควรใช้วัคซีนใด</t>
  </si>
  <si>
    <t>Inactivated polio vaccine</t>
  </si>
  <si>
    <t>Acellular pertussis vaccine</t>
  </si>
  <si>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</si>
  <si>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วัคซีนส่วนใหญ่ได้มาจากเชื้อไวรัสยกเว้นข้อใด</t>
  </si>
  <si>
    <t>JE</t>
  </si>
  <si>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</si>
  <si>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</si>
  <si>
    <t>สอบถามประวัติการแพ้ยา</t>
  </si>
  <si>
    <t>สอบถามโรคประจำตัว</t>
  </si>
  <si>
    <t>สอบถามประวัติการได้รับวัคซีน</t>
  </si>
  <si>
    <t>สอบถามการได้สัมผัสสัตว์ปีกที่มีชีวิต</t>
  </si>
  <si>
    <t>สอบถามเกี่ยวกับใกล้ชิดที่มีอาการผื่นแดง</t>
  </si>
  <si>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</si>
  <si>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22 Pharma Plus เล่มม่วง (เฉลยข้อ )</t>
  </si>
  <si>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</si>
  <si>
    <t>หวัดนก</t>
  </si>
  <si>
    <t>โรคภูมิคุ้มกันบกพร่อง</t>
  </si>
  <si>
    <t>โรคภูมิแพ้</t>
  </si>
  <si>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</si>
  <si>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Systemic lupus</t>
  </si>
  <si>
    <t>ท่านคิดว่า จะแก้ปัญหานี้ได้อย่างไรให้เกิดผลดีที่สุด</t>
  </si>
  <si>
    <t>ไม่ต้องตกใจ เป็นอาการข้างเคียงของวัคซีน</t>
  </si>
  <si>
    <t>จ่ายยาลดไข้ ถ้าไข้ไม่ลด ให้มาพบที่ร้านยาอีกครั้ง</t>
  </si>
  <si>
    <t>ให้เช็ดตัวเด็กเป็นระยะ ๆ ถ้าไข้ไม่ลดลง นำส่ง ร.พ.</t>
  </si>
  <si>
    <t>ให้เช็ดตัวเด็กเป็นระยะ ๆ จ่ายยาลดไข้ และโทรรายงานแพทย์หรือพยาบาล ปรึกษาและบันทึกประวัติการแพ้วัคซีน</t>
  </si>
  <si>
    <t>จ่ายยาลดไข้และให้เช็ดตัวเด็กเป็นระยะ ๆ อาการจะดีขึ้น</t>
  </si>
  <si>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</si>
  <si>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24 Pharma Plus เล่มม่วง (เฉลยข้อ จ)</t>
  </si>
  <si>
    <t>DTP และ MMR vaccine มีความแตกต่างกันทั้งประเภทของจุลินทรีย์ที่ใช้เตรียม ประเภทของวัคซีน ข้อใดไม่ถูกต้อง</t>
  </si>
  <si>
    <t>DTP vaccine เตรียมจากไวรัส ส่วน MMR vaccine เตรียมจากแบคทีเรีย</t>
  </si>
  <si>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</si>
  <si>
    <t>DTP vaccine เป็น inactivated vaccine ส่วน MMR เป็น live-attenuated vaccine</t>
  </si>
  <si>
    <t>DTP vaccine เป็น toxoid ทั้งหมด ส่วน MMR vaccine เป็น subunit vaccine ทั้งหมด</t>
  </si>
  <si>
    <t>DTP vaccine เป็น subunit vaccine ส่วน MMR vaccine เป็น toxoid</t>
  </si>
  <si>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</si>
  <si>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25 Pharma Plus เล่มม่วง (เฉลยข้อ ก ข)</t>
  </si>
  <si>
    <t>ในโปรแกรมสร้างภูมิคุ้มกัน วัคซีนบางประเภทเป็น live-attenuated vaccine มีข้อดีกว่าวัคซีนประเภทอื่นอย่างไร</t>
  </si>
  <si>
    <t>ปลอดภัยมากกว่า</t>
  </si>
  <si>
    <t>กระตุ้นภูมิคุ้มกันระยะยาว</t>
  </si>
  <si>
    <t>อาการข้างเคียงน้อยกว่า</t>
  </si>
  <si>
    <t>เป็นภูมิคุ้มกันสำเร็จรูป คือภูมิคุ้มกันทันที</t>
  </si>
  <si>
    <t>กระตุ้นภูมิคุ้มกันเร็วกว่า</t>
  </si>
  <si>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</si>
  <si>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ในโปรแกรมสร้างภูมิคุ้มกันไม่ครอบคลุมวัคซีนป้องกันโรคใด</t>
  </si>
  <si>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</si>
  <si>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27 Pharma Plus เล่มม่วง (เฉลยข้อ ค)</t>
  </si>
  <si>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</si>
  <si>
    <t>Chlorphenamine maleate tablet</t>
  </si>
  <si>
    <t>Hydroxyzine HCl tablet</t>
  </si>
  <si>
    <t>Neomycin/bacitracin ointment</t>
  </si>
  <si>
    <t>Calamine lotion</t>
  </si>
  <si>
    <t>Prednisolone cream</t>
  </si>
  <si>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</si>
  <si>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</si>
  <si>
    <t>ประวัติการสูบบุหรี่เพราะสาร hydrazine ในบุหรี่กระตุ้นอาการ Lupus ได้</t>
  </si>
  <si>
    <t>การใช้ sunscreen SPF 15 ขึ้นไปก่อนออกแดด</t>
  </si>
  <si>
    <t>ประวัติความเจ็บป่วยด้วยโรคติดเชื้อในอดีต</t>
  </si>
  <si>
    <t>ประวัติการใช้ยาเพราะยาบางตัว เช่น hydralazine chlorpropamide หรือยาในกลุ่ม anticonvulsant สามารถกระตุ้นการเกิด lupus ได้</t>
  </si>
  <si>
    <t>ประวัติการได้รับเลือดในอดีต</t>
  </si>
  <si>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</si>
  <si>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</si>
  <si>
    <t>Ocular examination</t>
  </si>
  <si>
    <t>Chest x-ray</t>
  </si>
  <si>
    <t>Urinalysis</t>
  </si>
  <si>
    <t>EKG</t>
  </si>
  <si>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</si>
  <si>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</si>
  <si>
    <t>Ioniazid</t>
  </si>
  <si>
    <t>Rifampicin</t>
  </si>
  <si>
    <t>Pyrazinamide ร่วมกับ ethambutol</t>
  </si>
  <si>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</si>
  <si>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แพทย์สั่งจ่าย prednisolone แต่โรงพยาบาลมียา dexamethasone เท่านั้นในฐานะเภสัชกรทำอย่างไร</t>
  </si>
  <si>
    <t>ให้ยา dexamethasone แทนได้เพราะยาทั้งสองตัวเป็น steroid ประเภท short acting steroid เหมือนกัน</t>
  </si>
  <si>
    <t>ให้ยา dexamethasone แทนได้เพราะยาทั้งสองตัวเป็น steroid ประเภท long acting steroid เหมือนกัน</t>
  </si>
  <si>
    <t>ต้องคำนวณ equivalent dose ของยาทั้งสองตัวก่อนทำการเปลี่ยนยาเนื่องจากยาทั้งสองตัวมี potency ต่างกัน</t>
  </si>
  <si>
    <t>ไม่สามารถให้ยาแทนกันได้เพราะ prednisolone เป็น glucocorticoid แต่ dexamethasone เป็น mineralocorticoid</t>
  </si>
  <si>
    <t>ไม่สามารถให้ยาแทนกันได้และควรแจ้งให้แพทย์ทราบ</t>
  </si>
  <si>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</si>
  <si>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ยากดภูมิคุ้มกัน (immunosuppression) มีประโยชน์กับภาวะยกเว้น</t>
  </si>
  <si>
    <t>การเปลี่ยนถ่ายอวัยวะ</t>
  </si>
  <si>
    <t>Rh hemolytic disease ในเด็กแรกเกิด</t>
  </si>
  <si>
    <t>มะเร็ง</t>
  </si>
  <si>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</si>
  <si>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33 Pharma Plus เล่มม่วง (เฉลยข้อ ข)</t>
  </si>
  <si>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</si>
  <si>
    <t>ให้ยาขนาด 24 ชม. ทุกวัน วันละครั้ง</t>
  </si>
  <si>
    <t>ให้ยาขนาด 24 ชม. แบ่งให้ 2 ครั้ง ทุกวัน</t>
  </si>
  <si>
    <t>ให้ยาขนาด 24 ชม. วันเว้นวัน วันละครั้ง</t>
  </si>
  <si>
    <t>ให้ยาขนาด 48 ชม. วันเว้นวัน วันละครั้ง</t>
  </si>
  <si>
    <t>ให้ยาขนาด 48 ชม. วันเว้นวัน แบ่งให้ 2 ครั้ง</t>
  </si>
  <si>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</si>
  <si>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ข้อ 34 Pharma Plus เล่มม่วง (เฉลยข้อ )</t>
  </si>
  <si>
    <t>การให้ prednisolone ให้ผู้ป่วย SLE เพื่ออะไร</t>
  </si>
  <si>
    <t>ลดปฏิกิริยา antibody immune complex</t>
  </si>
  <si>
    <t>ลดการทำลายของ LE cell</t>
  </si>
  <si>
    <t>ยับยั้งการจับ antigen กับ antibody</t>
  </si>
  <si>
    <t>ลดการสร้าง antibody</t>
  </si>
  <si>
    <t>ยับยั้ง histamine กับ bradykinin</t>
  </si>
  <si>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</si>
  <si>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35 Pharma Plus เล่มม่วง (เฉลยข้อ ง)</t>
  </si>
  <si>
    <t>ยากดภูมิคุ้มกัน (immunosuppressive) สามารถนำมาใช้ประโยชน์ในด้านใด</t>
  </si>
  <si>
    <t>AIDs</t>
  </si>
  <si>
    <t>COPD</t>
  </si>
  <si>
    <t>TB</t>
  </si>
  <si>
    <t>Leprosy</t>
  </si>
  <si>
    <t>Organ tissue transplantation</t>
  </si>
  <si>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</si>
  <si>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36 Pharma Plus เล่มม่วง (เฉลยข้อ จ)</t>
  </si>
  <si>
    <t>Cyclosporine ยากดภูมิคุ้มกันข้อใดถูกต้อง</t>
  </si>
  <si>
    <t>ออกฤทธิ์กดการทำงานของ B-cell อย่างเฉพาะเจาะจง</t>
  </si>
  <si>
    <t>ค่าของ pharmacokinetic profile สม่ำเสมอในผู้ป่วยทุกราย</t>
  </si>
  <si>
    <t>มีฤทธิ์ต่อตับและไตน้อย</t>
  </si>
  <si>
    <t>ประสิทธิภาพในการปลูกถ่ายอวัยวะ</t>
  </si>
  <si>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</si>
  <si>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ข้อใดเป็นผลข้างเคียงของ corticosteroid ยกเว้น</t>
  </si>
  <si>
    <t>Suppression of pituitary-adrenaline</t>
  </si>
  <si>
    <t>Increase susceptibility to infection</t>
  </si>
  <si>
    <t>Peptic ulceration</t>
  </si>
  <si>
    <t>Muscle hypertrophy</t>
  </si>
  <si>
    <t>Physiological disturbances</t>
  </si>
  <si>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</si>
  <si>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</si>
  <si>
    <t>มีน้ำมูก</t>
  </si>
  <si>
    <t>มีไข้</t>
  </si>
  <si>
    <t>ผีเสื้อที่หน้า</t>
  </si>
  <si>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</si>
  <si>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ถ้าต้องการใช้ยารักษาโรคในกรณีเฉียบพลันใช้ยา</t>
  </si>
  <si>
    <t>Diclofenac or Piroxicam</t>
  </si>
  <si>
    <t>Methylprednisolone</t>
  </si>
  <si>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</si>
  <si>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40 Pharma Plus เล่มม่วง (เฉลยข้อ จ)</t>
  </si>
  <si>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</si>
  <si>
    <t>Allergic rhinitis-mild intermittent</t>
  </si>
  <si>
    <t>Allergic rhinitis-mod-severe intermittent</t>
  </si>
  <si>
    <t>Allergic rhinitis-mod-severe persistent</t>
  </si>
  <si>
    <t>Allergic Asthma-mild persistent</t>
  </si>
  <si>
    <t>Allergic asthma-mod-severe intermittent</t>
  </si>
  <si>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</si>
  <si>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Mock PLE-CC 1 ข้อ 41</t>
  </si>
  <si>
    <t>ควรให้ยาอะไรตามการรักษาอาการภูมิแพ้กำเริบในประเทศไทย พ.ศ.2565</t>
  </si>
  <si>
    <t>CPM 4 mg ตามเดิม</t>
  </si>
  <si>
    <t>หยุด CPM และใช้ Fexofenadine 180 mg 1 เม็ดก่อน เมื่อมีอาการ</t>
  </si>
  <si>
    <t>Fexo 180 mg 1 เม็ดก่อนนอน ต่อเนื่อง 2 สัปดาห์</t>
  </si>
  <si>
    <t>Montelukast 10 mg วันละ 1 เม็ด ประเมินอีกครั้ง 2 สัปดาห์</t>
  </si>
  <si>
    <t>Mometasone พ่นจมูกเช้า-เย็น ประเมินอีกครั้ง 2 สัปดาห๋"</t>
  </si>
  <si>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</si>
  <si>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Mock PLE-CC 1 ข้อ 42</t>
  </si>
  <si>
    <t>ผลข้างเคียงของการใช้ยา oxymetazoline ติดต่อกันหลายวัน</t>
  </si>
  <si>
    <t>Rebound congestion</t>
  </si>
  <si>
    <t>HPA axis suppression</t>
  </si>
  <si>
    <t>nasal septal perforation</t>
  </si>
  <si>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</si>
  <si>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Mock PLE-CC 1 ข้อ 43</t>
  </si>
  <si>
    <t>กลไกการออกฤทธิ์ของยาแก้คัดจมูก oxymetazoline</t>
  </si>
  <si>
    <t>Alpha1,Alpha2 agonist</t>
  </si>
  <si>
    <t>Beta1 agonist</t>
  </si>
  <si>
    <t>Muscarinic agonist</t>
  </si>
  <si>
    <t>Acetylcholinesterase inhibitor</t>
  </si>
  <si>
    <t>Neuromuscular blocker</t>
  </si>
  <si>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</si>
  <si>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Mock PLE-CC 1 ข้อ 44</t>
  </si>
  <si>
    <t>CPM เป็น first gen antihistamine ห้ามใช้ในผู้ป่วยโรคใด</t>
  </si>
  <si>
    <t>กลั้นปัสสาวะไม่อยู่</t>
  </si>
  <si>
    <t>หอบหืด</t>
  </si>
  <si>
    <t>ต่อมลูกหมากโต</t>
  </si>
  <si>
    <t>ใช้ยาปฏิชีวนะ (erythromycin,fluconazole)</t>
  </si>
  <si>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</si>
  <si>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Mock PLE-CC 1 ข้อ 45</t>
  </si>
  <si>
    <t>อาหารหรือปัจจัยใดกระตุ้นให้เกิด allergic rhinitis ได้</t>
  </si>
  <si>
    <t>เครื่องดื่มแอลกอฮอล์</t>
  </si>
  <si>
    <t>อาหารที่มีสารกันบูด sulfite เช่น ไวน์ อาหารแปรรูป</t>
  </si>
  <si>
    <t>อาหารที่มีรสจัดหรือเผ็ดที่กระตุ้นอาการคัดจมูก</t>
  </si>
  <si>
    <t>สูบบุหรี่และควันบุหรี่</t>
  </si>
  <si>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</si>
  <si>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Mock PLE-CC 1 ข้อ 50</t>
  </si>
  <si>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</si>
  <si>
    <t>ขายได้เพราะเป็นยาสามัญประจำบ้าน</t>
  </si>
  <si>
    <t>ขายได้เพราะเป็นยาอันตรายตามกฎหมาย</t>
  </si>
  <si>
    <t>ขายไม่ได้เพราะปริมาณเกินกฎหมายกำหนดไว้</t>
  </si>
  <si>
    <t>ขายไม่ได้เพราะไม่ได้คำนึงถึงความปลอดภัยผู้มาซื้อ</t>
  </si>
  <si>
    <t>ขายไม่ได้เพราะไม่มีใบสั่งซื้อจากแพทย์</t>
  </si>
  <si>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</si>
  <si>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PLE_CC1_2567_Key ข้อ 11</t>
  </si>
  <si>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</si>
  <si>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</si>
  <si>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PLE_CC1_2567_Set1_Key ข้อ 11</t>
  </si>
  <si>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</si>
  <si>
    <t>Fluticasone furoate nasal spray</t>
  </si>
  <si>
    <t>Budesonide nasal spray</t>
  </si>
  <si>
    <t>Epinephrine 0.3 mg IM stat</t>
  </si>
  <si>
    <t>Dexamethasone 4 mg IV</t>
  </si>
  <si>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</si>
  <si>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PLE_CC1_2567_Set1_Key ข้อ 14</t>
  </si>
  <si>
    <t>คุณครูมาขอซื้อ CPM 4 มก. 5 กระปุก กระปุกละ 100 เม็ด เนื่องจากกำลังจะเปิดเรียน เภสัชกรขายให้ เภสัช กรผิดหรือไม่</t>
  </si>
  <si>
    <t>Prednisolone 20 mg OD</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</si>
  <si>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</si>
  <si>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PLE_CC1_2567_Set1_Key ข้อ 47</t>
  </si>
  <si>
    <t>ข้อใดเป็นเกณฑ์ในการวินิจฉัยว่าผู้ป่วยคนนี้เป็นโรคไตเรื้อรัง CPM UACR = 282 ☆</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</si>
  <si>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</si>
  <si>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PLE_CC1_2567_Set1_Key ข้อ 50</t>
  </si>
  <si>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</si>
  <si>
    <t>Sildenafil</t>
  </si>
  <si>
    <t>Alprazolam</t>
  </si>
  <si>
    <t>Prednisolone eดfา combine 3นเอา synergistic effect เลยHกfา gก เหhผลjงkอ:lวยR Na mUงไnอยากเ^มขนาด HCTZ</t>
  </si>
  <si>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</si>
  <si>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PLE_CC1_2567_Set1_Key ข้อ 81</t>
  </si>
  <si>
    <t>CPM 10 เม็ด?????</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</si>
  <si>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</si>
  <si>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PLE-CC1 ปี 2566 Day 2 ข้อ 2</t>
  </si>
  <si>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</si>
  <si>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</si>
  <si>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PLE-CC1 ปี 2566 Day 2 ข้อ 68</t>
  </si>
  <si>
    <t>มารดาเป็นภูมิแพ้</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</si>
  <si>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</si>
  <si>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(ชื่อยาantihistamine) nasal spray</t>
  </si>
  <si>
    <t>Fexofenadine 180 mg OD</t>
  </si>
  <si>
    <t>Chlorpheniramine 4 mg TID</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</si>
  <si>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</si>
  <si>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Antihistamine =ง&gt;ตรเ?ยวและ&gt;ตรผสม เฉพาะFปแบบยาH รายการยา antihistamine ตามแนบIายประกาศJKงL</t>
  </si>
  <si>
    <t>Tramadol เดี่ยวและผสม</t>
  </si>
  <si>
    <t>Dextromethorphan เดี่ยวและผสม</t>
  </si>
  <si>
    <t>CPM เดี่ยวและผสม เฉพาะยาน้ำ</t>
  </si>
  <si>
    <t>Cetirizine เดี่ยวและผสม เฉพาะยาน้ำ</t>
  </si>
  <si>
    <t>Diphenhydramine เดี่ยวและผสม เฉพาะยาน้ำ</t>
  </si>
  <si>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</si>
  <si>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</si>
  <si>
    <t>A และ C C เ"น Pyridine ring ไAใC imidazole แD EดGา;าจะเ"น8แห;ง4บ HางIงจากKป7 (เส=ม) ?ห@บ H2 receptor (Slide medchem)</t>
  </si>
  <si>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</si>
  <si>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PLE_CC1_2565_Day1_Key ข้อ 88</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</si>
  <si>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</si>
  <si>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common cold คัดจมูก จะให้ใช้อะไรดี</t>
  </si>
  <si>
    <t>oxymetazoline / b) CPM tablet / c) loratadine tablet</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</si>
  <si>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</si>
  <si>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PLE_CC1_2564_All_Key ข้อ 10</t>
  </si>
  <si>
    <t>common cold จะแนะนำยังไงดี</t>
  </si>
  <si>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</si>
  <si>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</si>
  <si>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PLE_CC1_2564_All_Key ข้อ 11</t>
  </si>
  <si>
    <t>จากอาการดังกล.าวผู(ปcวยเป5น allergic rhinitis แบบใดและมีความ รุนแรงระดับใด</t>
  </si>
  <si>
    <t>Persistent, mild</t>
  </si>
  <si>
    <t>Intermittent, mild</t>
  </si>
  <si>
    <t>Intermittent, very severe</t>
  </si>
  <si>
    <t>Persistent, moderate-severe</t>
  </si>
  <si>
    <t>Intermittent, moderate-severe</t>
  </si>
  <si>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</si>
  <si>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70 (PLE_CC1_2561_Key.md)</t>
  </si>
  <si>
    <t>การใช(ยา pseudoephedrine nasal drop ติดต.อกันนานเกิน 10 วัน มีผลทำให(เกิดผลข(างเคียงใด</t>
  </si>
  <si>
    <t>นอนไม.หลับ</t>
  </si>
  <si>
    <t>เกิดฝqาขาวที่ลิ้น</t>
  </si>
  <si>
    <t>เลือดกำเดาไหล</t>
  </si>
  <si>
    <t>คัดจมูกมาก หายใจไม.ออก</t>
  </si>
  <si>
    <t>เลือดออกในทางเดินอาหาร</t>
  </si>
  <si>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</si>
  <si>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72 (PLE_CC1_2561_Key.md)</t>
  </si>
  <si>
    <t>Allergic rhinitis with Asthma</t>
  </si>
  <si>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</si>
  <si>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</si>
  <si>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</si>
  <si>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ข้อ 13 (PLE_CC1_2560 22 April Set 1.md)</t>
  </si>
  <si>
    <t>Fexofenadine 60 mg bid</t>
  </si>
  <si>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</si>
  <si>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Oxymetazoline intranasal prn (at night 1-2 times/week)</t>
  </si>
  <si>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</si>
  <si>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กลไกของการเกิด Allergic rhinitis เกี่ยวข้องกับ Antibody ตัวใด</t>
  </si>
  <si>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</si>
  <si>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Allergic rhinitis จัดเป็นแบบใด</t>
  </si>
  <si>
    <t>Mild intermittent</t>
  </si>
  <si>
    <t>Mild persistent</t>
  </si>
  <si>
    <t>Mild-moderate intermittent</t>
  </si>
  <si>
    <t>Moderate persistent</t>
  </si>
  <si>
    <t>Moderate-severe intermittent</t>
  </si>
  <si>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</si>
  <si>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Oxymetazoline ออกฤทธิ์เหมือนกับยาใด</t>
  </si>
  <si>
    <t>Phenylephrine</t>
  </si>
  <si>
    <t>Loratadine</t>
  </si>
  <si>
    <t>Ipratopium</t>
  </si>
  <si>
    <t>Cromolyn</t>
  </si>
  <si>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</si>
  <si>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ยาใดสามารถรักษาได้ทั ง Allergic rhinitis และ Asthma</t>
  </si>
  <si>
    <t>Budesonide</t>
  </si>
  <si>
    <t>Montelukast</t>
  </si>
  <si>
    <t>Leukotriene</t>
  </si>
  <si>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</si>
  <si>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</si>
  <si>
    <t>Fluticasone MDI</t>
  </si>
  <si>
    <t>Salbutamol MDI</t>
  </si>
  <si>
    <t>Fluticasone + Salmeterol DPI</t>
  </si>
  <si>
    <t>Ipratropium + Fenoterol DPI</t>
  </si>
  <si>
    <t>Fluticasone + Formoterol DPI</t>
  </si>
  <si>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</si>
  <si>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ข้อ 62 (Pharmtutor_2024_Set2.md)</t>
  </si>
  <si>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</si>
  <si>
    <t>การก่อสร้าง</t>
  </si>
  <si>
    <t>ประวัติทางพันธุกรรม</t>
  </si>
  <si>
    <t>ขนแมว</t>
  </si>
  <si>
    <t>สภาพอากาศ</t>
  </si>
  <si>
    <t>ปัจจัยภายใน เช่น โรคประจำตัว</t>
  </si>
  <si>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</si>
  <si>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76 (Pharmtutor_2024_Set2.md)</t>
  </si>
  <si>
    <t>ยาในข้อใดไม่เหมาะสมสำหรับผู้ป่วยรายนี%มากที_x001E_สุด (1) Loratadine (2) Amoxicillin (3) Ibuprofen (4) Phenylephrine (5) Chlorpheniramine maleate</t>
  </si>
  <si>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</si>
  <si>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</si>
  <si>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</si>
  <si>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จากตำรับยาข้างต้น กำหนดให้ oxymetazoline มีค่า E เท่ากับ 0.3 ดังนั้นจะต้องเติม NaCl ลงไปเท่าไรจึง จะทำให้ตำรับมีความเป็น isotonic</t>
  </si>
  <si>
    <t>0.60 ml</t>
  </si>
  <si>
    <t>0.67 ml</t>
  </si>
  <si>
    <t>0.80 ml</t>
  </si>
  <si>
    <t>0.87 ml</t>
  </si>
  <si>
    <t>0.90 ml คณะเภสัชศาสตร์ มหาวิทยาลัยเชียงใหม่ Rx 44 CMU</t>
  </si>
  <si>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 มหาวิทยาลัยเชียงใหม่ Rx 44 CMU): 0.90 ml เป็นปริมาณของ Normal saline พื้นฐานโดยสมมุติว่าสารสำคัญไม่มีคุณสมบัติในการสร้างแรงดันออสโมติก ซึ่งแท้จริงแล้ว oxymetazoline มีค่า E ช่วยลดปริมาณ NaCl ที่ต้องเติม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</si>
  <si>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49 (PLE_CC1_2555 Day 1.md)</t>
  </si>
  <si>
    <t>Antihistamine ตัวไหนทำให้เกิดอาการง่วงที่สุด</t>
  </si>
  <si>
    <t>Chlorphenhydramine</t>
  </si>
  <si>
    <t>Triprolidine</t>
  </si>
  <si>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</si>
  <si>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67 (PLE_CC1_2555 Day 1.md)</t>
  </si>
  <si>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</si>
  <si>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</si>
  <si>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Pseudoephedrine</t>
  </si>
  <si>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</si>
  <si>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1 (PLE_CC1_2555 Day 2.md)</t>
  </si>
  <si>
    <t>ชื่อผู้ผลิต และ จังหวัดที่ผลิต</t>
  </si>
  <si>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</si>
  <si>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ต่อมลูกหมากโต 8.ยา Antihistamine ตัวใดที่ทำให้ง่วงมากที่สุด</t>
  </si>
  <si>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</si>
  <si>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ผู้ป่วยมีอาการเลือดออกตามไรฟัน เลือดกำเดาไหล เป็นหวัดง่าย สามารถช่วยได้โดยอาศัย</t>
  </si>
  <si>
    <t>Vitamin E</t>
  </si>
  <si>
    <t>Ferrus sulfate ตอบ a</t>
  </si>
  <si>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</si>
  <si>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</si>
  <si>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</si>
  <si>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ข้อใดผิดเกี่ยวกับยากลุ่ม anti-leukotrienes กับการรักษาโรค allergic rhinitis</t>
  </si>
  <si>
    <t>เมื่อใช้เป็นยาเดี่ยวมีฤทธิ์เทียบเท่ากับ second generation antihistamines</t>
  </si>
  <si>
    <t>ใช้ได้ผลดีกับคนที่มีโรคหืดร่วมด้วย</t>
  </si>
  <si>
    <t>มีประสิทธิภาพด้อยกว่า INCS</t>
  </si>
  <si>
    <t>ถ้าใช้ anti-leukotrienes ร่วมกับ antihistamines จะมีประสิทธิภาพด้อยกว่ายาเดี่ยว</t>
  </si>
  <si>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</si>
  <si>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Leukotrienes เป็นสารสื่อกลางหลักที่ทำให้หลอดเลือดขยายตัวและเยื่อบุจมูกบวมคัดแน่น ยา anti-leukotrienes จึงมีประสิทธิภาพลดอาการคัดจมูกได้เด่นชัดใกล้เคียงกับ oral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</si>
  <si>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การปฏิบัติตนในข้อใดสามารถลดอาการทางจมูกอักเสบภูมิแพ้ได้</t>
  </si>
  <si>
    <t>การใช้ผ้าปูที่นอน ปลอกหมอนกันไรฝุ่น</t>
  </si>
  <si>
    <t>ซักผ้าในน้ำร้อน 55-60 องศาเซลเซียสเป็นประจำ</t>
  </si>
  <si>
    <t>กำจัด หรือหลีกเลี่ยงสารก่อภูมิแพ้ที่ตนเองแพ้</t>
  </si>
  <si>
    <t>อาบน้ำอุ่นเป็นประจำทุกวัน</t>
  </si>
  <si>
    <t>ถูกทั้งข้อ ก. ข. และ ค.</t>
  </si>
  <si>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</si>
  <si>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อาการใดไม่เข้ากับโรคจมูกอักเสบภูมิแพ้</t>
  </si>
  <si>
    <t>คันจมูก จามติดๆกัน</t>
  </si>
  <si>
    <t>น้ำมูกไหลลงคอ ไอเรื้อรัง</t>
  </si>
  <si>
    <t>น้ำมูกใส และคัดแน่นจมูก</t>
  </si>
  <si>
    <t>ไอเป็นเลือด</t>
  </si>
  <si>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</si>
  <si>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ภาวะเยื่อบุโพรงจมูกบวมอักเสบเรื้อรังทำให้ขัดขวางการไหลเวียนอากาศไปยัง olfactory neuroepithelium ส่งผลให้ความสามารถในการรับกลิ่นลดลง (hyposmia) 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</si>
  <si>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ลักษณะที่สามารถพบได้ในผู้ป่วยโรคจมูกอักเสบภูมิแพ้ ยกเว้นข้อใด</t>
  </si>
  <si>
    <t>Long face syndrome</t>
  </si>
  <si>
    <t>Allergic shiner</t>
  </si>
  <si>
    <t>Allergic nasal crease/line</t>
  </si>
  <si>
    <t>Allergic salute</t>
  </si>
  <si>
    <t>Butterfly rash</t>
  </si>
  <si>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</si>
  <si>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ยาในข้อใดที่ได้ผลดีกับผู้ป่วยที่เป็นโรคหืดร่วมกับโรคจมูกอักเสบภูมิแพ้</t>
  </si>
  <si>
    <t>Cromolyn sodium</t>
  </si>
  <si>
    <t>Oxymetazoline</t>
  </si>
  <si>
    <t>Levocetirizine</t>
  </si>
  <si>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</si>
  <si>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13 (PLE_CC1_Practice_Exam.md)</t>
  </si>
  <si>
    <t>ก่อนหน้านี้ผู้ป่วยหญิงรายนี้ได้รับประทานยา oral antihistamine มาก่อน จากโครงสร้าง Oral antihistamine ตัวใด ออกฤทธิ์ได้ยาวนานที่สุด</t>
  </si>
  <si>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</si>
  <si>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เป็นตัวเลือกระบุข้อมูลอ้างอิงของสถาบัน ไม่ใช่รายการยาที่มีฤทธิ์ทางเภสัชวิทยาในการรักษา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</si>
  <si>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</si>
  <si>
    <t>แนะนำให้ผู้ป่วยเปลี่ยนไปใช้ยาพ่นยี่ห่ออื่น</t>
  </si>
  <si>
    <t>แนะนำให้ผู้ป่วยใช้ยาพ่นจมูกที่มีตัวยา ephedrine ร่วมด้วย</t>
  </si>
  <si>
    <t>แนะนำให้ผู้ป่วยเพิ่มขนาดยาพ่นจมูกเป็น 2 spray วันละ 3 ครั้ง</t>
  </si>
  <si>
    <t>แนะนำให้ผู้ป่วยรับประทานยาที่บรรเทาอาการคัดจมูกร่วมด้วย</t>
  </si>
  <si>
    <t>แนะนำให้ผู้ป่วยหยุดใช้ยาพ่นชั่วคราว</t>
  </si>
  <si>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</si>
  <si>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</si>
  <si>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</si>
  <si>
    <t>ควรได้รับ เนื่องจากโรคที่ผู้ป่วยเป็นคือ Acute pharyngitis จึงควรได้รับยาปฏิชีวนะคือ Amoxicillin dry syrup (125 mg/5 ml) ปริมาณ 30 ml/day นาน 10 วัน</t>
  </si>
  <si>
    <t>ควรได้รับ เนื่องจากโรคที่ผู้ป่วยเป็นคือ Acute bacterial rhinosinusitis จึงควรได้รับยาปฏิชีวนะ คือ Amoxicillin dry syrup (125 mg/5 ml) ปริมาณ 48 ml/day นาน 10 วัน</t>
  </si>
  <si>
    <t>ควรได้รับ เนื่องจากโรคที่ผู้ป่วยเป็นคือ common cold จึงควรได้รับยา Carbocysteine (100 mg/5 ml) ปริมาณ 15 ml/day</t>
  </si>
  <si>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</si>
  <si>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ผู้ป่วยไม่มีอาการทางคลินิกที่เข้าเกณฑ์ Centor criteria ของ Acute streptococcal pharyngitis (ไม่มีไข้ ไม่มีจุดหนองที่ทอนซิล) การให้ Amoxicillin จึงไม่เหมาะสมและเพิ่มความเสี่ยงเชื้อดื้อยา
• ข้อ ค. (ควรได้รับ เนื่องจากโรคที่ผู้ป่วยเป็นคือ Acute bacterial rhinosinusitis จึงควรได้รับยาปฏิชีวนะ คือ Amoxicillin dry syrup (125 mg/5 ml) ปริมาณ 48 ml/day นาน 10 วัน): อาการเพิ่งเป็นมาเพียง 1-2 วัน ไม่เข้าเกณฑ์การวินิจฉัย Acute bacterial rhinosinusitis ที่ต้องมีอาการนานเกิน 10 วันขึ้นไป จึงไม่มีข้อบ่งใช้ของยาปฏิชีวนะ Amoxicillin ขนาดสูง
• ข้อ ง. (ควรได้รับ เนื่องจากโรคที่ผู้ป่วยเป็นคือ common cold จึงควรได้รับยา Carbocysteine (100 mg/5 ml) ปริมาณ 15 ml/day): ในเด็กอายุต่ำกว่า 6 ปี การใช้ยาละลายเสมหะและยาแก้หวัดทั่วไปยังขาดหลักฐานประสิทธิผลที่ชัดเจน และอาจเพิ่มความเสี่ยงต่ออาการไม่พึงประสงค์ การดูแลแบบประคับประคองเป็นทางเลือกแรก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Cetirizine ร่วมกับ mucolytic ไม่มีความจำเป็นในผู้ป่วย common cold ที่ไม่มีอาการภูมิแพ้เด่นชัด และการใช้ยาหลายขนานในเด็กเล็กเพิ่มความเสี่ยงต่อการเกิดพิษจากยา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</si>
  <si>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ทุกโครงสร้างยาออกฤทธิ์แบบ non-sedative antihistamine ข้อใดต่อไปนี้ถูกต้อง</t>
  </si>
  <si>
    <t>เฉพาะ ข้อความ 1</t>
  </si>
  <si>
    <t>เฉพาะข้อความ 2</t>
  </si>
  <si>
    <t>ข้อความ 1 และ 2</t>
  </si>
  <si>
    <t>ข้อความ 1 และ 3</t>
  </si>
  <si>
    <t>ถูกทั้ง 1 2 และ 3</t>
  </si>
  <si>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</si>
  <si>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</si>
  <si>
    <t>Fluticasone furoate</t>
  </si>
  <si>
    <t>montelukast</t>
  </si>
  <si>
    <t>0.025% oxymetazoline</t>
  </si>
  <si>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</si>
  <si>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</si>
  <si>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</si>
  <si>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</si>
  <si>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</si>
  <si>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</si>
  <si>
    <t>Dimenhydrinateเป็นanti histamineมีข้อบ่งใช้ใน motion sickness</t>
  </si>
  <si>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</si>
  <si>
    <t>Intranasal Budesonide จะใช้ในรายที่มีอาการคัดจมูกมาก ซึ่งผู้ป่วยรายนี้ไม่มีอาการรุนแรงมาก และ อาการไม่ได้รบกวนคุณภาพชีวิต</t>
  </si>
  <si>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</si>
  <si>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Chlorpheniramine เป็น first-generation antihistamine ที่ผ่าน blood-brain barrier ได้ดี ทำให้เกิดผลข้างเคียงง่วงนอน สมาธิลดลง และบกพร่องต่อการเรียนรู้ จึงห้ามใช้ในช่วงสอบ
• ข้อ ค. (Intranasal Budesonide จะใช้ในรายที่มีอาการคัดจมูกมาก ซึ่งผู้ป่วยรายนี้ไม่มีอาการรุนแรงมาก และ อาการไม่ได้รบกวนคุณภาพชีวิต): Intranasal Budesonide มีประสิทธิภาพสูงในการรักษา allergic rhinitis แต่อาจเกินความจำเป็นในผู้ป่วยที่มีอาการระดับ mild intermittent ซึ่งควบคุมได้ด้วย oral antihistamine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Terfenadine ถูกถอนออกจากทะเบียนตำรับยาเนื่องจากยับยั้ง hERG cardiac potassium channel ทำให้เกิด QT prolongation และภาวะหัวใจเต้นผิดจังหวะ torsades de pointes เมื่อใช้ร่วมกับ CYP3A4 inhibitors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</si>
  <si>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</si>
  <si>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</si>
  <si>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</si>
  <si>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</si>
  <si>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</si>
  <si>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</si>
  <si>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</si>
  <si>
    <t>ถูกต้อง เพราะเลขาธิการสำนักงานคณะกรรมการอาหาร และยาเป็นผู้อนุญาตสำหรับการออกทุก ชนิดทั่วราชอาณาจักร</t>
  </si>
  <si>
    <t>ถูกต้อง เพราะการอนุญาตสำหรับการขายยาผู้อนุญาตอาจเป็นเลขาธิการ หรือผู้ว่าราชการจังหวัดก็ ได้</t>
  </si>
  <si>
    <t>ไม่ถูกต้อง เพราะผู้อนุญาตสำหรับการขายยาในต่างจังหวัดต้องเป็นผู้ว่าราชการจังหวัดที่อยู่ในเขต จังหวัดนั้น</t>
  </si>
  <si>
    <t>ไม่ถูกต้อง เพราะผู้อนุญาตสำหรับการขายยาคือ ปลัดกระทรวงสาธารณสุขไม่ใช่เลขาธิการ สำนักงานคณะกรรมการอาหารและยา</t>
  </si>
  <si>
    <t>ไม่สามารถตัดสินใจได้จากข้อมูลที่ให้มา</t>
  </si>
  <si>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</si>
  <si>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ผู้ป่วยมาร้านยาเพื่อขอซื้อยา Pseudoephedrine ขนาด 60 มิลลิกรัม เภสัชกรบอกยานี้ไม่มีขาย อยาก ทราบว่าทำไมยานี้จึงไม่มีจำหน่ายในร้านยา</t>
  </si>
  <si>
    <t>เนื่องจากเป็นยาอันตราย</t>
  </si>
  <si>
    <t>เนื่องจากเป็นยาควบคุมพิเศษ</t>
  </si>
  <si>
    <t>เนื่องจากเป็นยาเสพติดให้โทษ ประเภทที่ 2</t>
  </si>
  <si>
    <t>เนื่องจากเป็นวัตถุออกฤทธิ์ต่อจิตและประสาท ประเภทที่ 2</t>
  </si>
  <si>
    <t>เนื่องจากไม่มียานี้จำหน่ายในประเทศไทย</t>
  </si>
  <si>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</si>
  <si>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Oral antihistamine ลดน้ำมูก + คัดจมูก</t>
  </si>
  <si>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</si>
  <si>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</si>
  <si>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</si>
  <si>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</si>
  <si>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</si>
  <si>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ยา Antihistamine ตัวใดที่ทำให้ง่วงมากที่สุด</t>
  </si>
  <si>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</si>
  <si>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8 (PLE_CC1_Key_Rx20_UBU.md)</t>
  </si>
  <si>
    <t>ใช้ยาเดิมต่อไป แต่ให้ antihistamine และ paracetamol</t>
  </si>
  <si>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</si>
  <si>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Loratadine (minor) ระดับ lora ลดลง</t>
  </si>
  <si>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</si>
  <si>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ไม่เหมาะสม เพราะ ควรใช้ยา Loratadine จะได้ผลดีกว่า</t>
  </si>
  <si>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</si>
  <si>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ไม่เหมาะสม เพราะ ไม่ควรใช้ First generation antihistamine และ Decongestant ในผู้สูงอายุ</t>
  </si>
  <si>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</si>
  <si>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</si>
  <si>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</si>
  <si>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ข้อ 60 (PLE_CC1_Key_Rx20_UBU.md)</t>
  </si>
  <si>
    <t>Antihistamine eye drops</t>
  </si>
  <si>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</si>
  <si>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Fexofenadine 60 mg 1 tab bid</t>
  </si>
  <si>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</si>
  <si>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Oxymetazoline intranasal 0.5 mg/ml 1 puff prn (at night 1-2 times/week)</t>
  </si>
  <si>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</si>
  <si>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Pseudoephedrine 60 mg/triprolidine 2.5 mg 1 tab bid pc</t>
  </si>
  <si>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</si>
  <si>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Allergic rhinitis ของผู้ป่วยรายนี้มีความรุนแรงระดับใด</t>
  </si>
  <si>
    <t>Mild-moderate persistent</t>
  </si>
  <si>
    <t>Moderate-severe persistent</t>
  </si>
  <si>
    <t>Moderate-severe intermittent และผู้ป่วยเพิ่งมีอาการมา 2 สัปดาห์ ดังแสดงในแผนภูมิด้านล่างนี้</t>
  </si>
  <si>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</si>
  <si>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Fexofenadine มีการ metabolism ได้ metabolite ดังภาพ ซึ่งเกิดขึ้นจากปฏิกิริยาใด</t>
  </si>
  <si>
    <t>Deamination</t>
  </si>
  <si>
    <t>Dealkylation</t>
  </si>
  <si>
    <t>Deacetylation</t>
  </si>
  <si>
    <t>Decarboxylation</t>
  </si>
  <si>
    <t>Dehydrogenation</t>
  </si>
  <si>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</si>
  <si>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ข้อใดมีผลต่อความสม่ำเสมอของยา fexofenadine</t>
  </si>
  <si>
    <t>มุมทรงตัว</t>
  </si>
  <si>
    <t>ความพรุนของผงยา</t>
  </si>
  <si>
    <t>การทำเป็นแกรนูล</t>
  </si>
  <si>
    <t>ความสามารถในการตอกอัด</t>
  </si>
  <si>
    <t>การใส่สาร glidant ลงไปในตำรับ</t>
  </si>
  <si>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</si>
  <si>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จากรูป โครงสร้างหรือคุณสมบัติใดของ cetirizine ที่ทำให้กินยานี้แล้วไม่ง่วง</t>
  </si>
  <si>
    <t>Acid property</t>
  </si>
  <si>
    <t>Basic property</t>
  </si>
  <si>
    <t>Amphoteric property</t>
  </si>
  <si>
    <t>Aromatic ring</t>
  </si>
  <si>
    <t>Electron withdrawing และทำให้ผ่าน BBB น้อยจึงทำให้ส่งผลต่อ CNS side น้อย</t>
  </si>
  <si>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</si>
  <si>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ค่าผลปฏิบัติการใด มี Specificity สูงที่สุดสำหรับโรค Systemic lupus erythematosus</t>
  </si>
  <si>
    <t>ES</t>
  </si>
  <si>
    <t>Proteinuria คำอธิบาย</t>
  </si>
  <si>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</si>
  <si>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ยาปฏิชีวนะกลุ่มใดต่อไปนี้ มีกลไกการออกฤทธิ์โดยการยับยั้งเอนไซม์ DNA gyrase และ Topoisomerase IV ของแบคทีเรีย?</t>
  </si>
  <si>
    <t>Beta-lactams (เช่น Amoxicillin)</t>
  </si>
  <si>
    <t>Aminoglycosides (เช่น Gentamicin)</t>
  </si>
  <si>
    <t>Fluoroquinolones (เช่น Ciprofloxacin, Levofloxacin)</t>
  </si>
  <si>
    <t>Macrolides (เช่น Azithromycin)</t>
  </si>
  <si>
    <t>Glycopeptides (เช่น Vancomycin)</t>
  </si>
  <si>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</si>
  <si>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HIV infection</t>
  </si>
  <si>
    <t>Pharmacology</t>
  </si>
  <si>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</si>
  <si>
    <t>หยุด beta-lactam แต่ยังคง azithromycin เดี่ยว ๆ</t>
  </si>
  <si>
    <t>เปลี่ยนเป็น respiratory fluoroquinolone monotherapy เช่น Levofloxacin 750 mg IV/PO วันละครั้ง</t>
  </si>
  <si>
    <t>เปลี่ยนเป็น cephalosporin รุ่นที่ 1 (เช่น cefazolin) แทน beta-lactam เดิม</t>
  </si>
  <si>
    <t>ให้ desensitization ต่อ penicillin ก่อนเริ่มยาเดิม</t>
  </si>
  <si>
    <t>ใช้ norfloxacin แทน เพราะเป็นยากลุ่มเดียวกับ ciprofloxacin</t>
  </si>
  <si>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</si>
  <si>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Pneumonia</t>
  </si>
  <si>
    <t>ข้อ 1.1 Mock Infectious RxCU84</t>
  </si>
  <si>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</si>
  <si>
    <t>เลี่ยงแสงแดดเพราะเสี่ยง photosensitivity เท่านั้น</t>
  </si>
  <si>
    <t>ระวังอาการปวด/บวมบริเวณเอ็น และหลีกเลี่ยงการออกกำลังกายหนักเนื่องจากอายุ &gt;60 ปี เพิ่มความเสี่ยง tendon rupture</t>
  </si>
  <si>
    <t>ให้กินยาพร้อมนมเพื่อลดการระคายเคืองกระเพาะอาหาร</t>
  </si>
  <si>
    <t>ไม่ต้องกังวลเรื่องใดเป็นพิเศษเพราะผู้ป่วยไม่มีประวัติแพ้ยา</t>
  </si>
  <si>
    <t>เพิ่มขนาดยา theophylline ทันทีเพราะ levofloxacin จะลดระดับยาในเลือด</t>
  </si>
  <si>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</si>
  <si>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1.2 Mock Infectious RxCU84</t>
  </si>
  <si>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</si>
  <si>
    <t>ความเสี่ยง tendon rupture เนื่องจากอายุมากกว่า 60 ปี</t>
  </si>
  <si>
    <t>ความเสี่ยงระดับน้ำตาลในเลือดผิดปกติ (dysglycemia) ทั้งภาวะน้ำตาลสูงและต่ำ</t>
  </si>
  <si>
    <t>การยับยั้งเอนไซม์ CYP1A2 ทำให้ระดับ metformin ในเลือดสูงขึ้น</t>
  </si>
  <si>
    <t>ความเสี่ยง Fanconi syndrome จากยาหมดอายุ</t>
  </si>
  <si>
    <t>การเกิด pseudomembranous colitis จาก C. difficile</t>
  </si>
  <si>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</si>
  <si>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ข้อ 1.3 Mock Infectious RxCU84</t>
  </si>
  <si>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</si>
  <si>
    <t>Levofloxacin ต้องปรับตามการทำงานของไต ส่วน moxifloxacin ต้องระวังในตับวายและไม่ใช้รักษาโรคติดเชื้อทางเดินปัสสาวะ</t>
  </si>
  <si>
    <t>ทั้งสองตัวต้องปรับขนาดตามไตในระดับเดียวกัน</t>
  </si>
  <si>
    <t>Moxifloxacin ต้องปรับตามไต ส่วน levofloxacin ไม่ต้องปรับเลย</t>
  </si>
  <si>
    <t>ทั้งสองตัวไม่จำเป็นต้องปรับขนาดยาในผู้สูงอายุ</t>
  </si>
  <si>
    <t>Levofloxacin มีความเสี่ยง QT prolongation สูงกว่า moxifloxacin</t>
  </si>
  <si>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</si>
  <si>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1.4 Mock Infectious RxCU84</t>
  </si>
  <si>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</si>
  <si>
    <t>Peripheral neuropathy ซึ่งพบเฉพาะในเด็ก</t>
  </si>
  <si>
    <t>Tendinitis/tendon rupture โดยเฉพาะในผู้มีอายุมากกว่า 60 ปี</t>
  </si>
  <si>
    <t>Tooth discoloration ถาวร</t>
  </si>
  <si>
    <t>Ototoxicity ที่ไม่สามารถย้อนกลับได้</t>
  </si>
  <si>
    <t>Fanconi syndrome</t>
  </si>
  <si>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</si>
  <si>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1.5 Mock Infectious RxCU84</t>
  </si>
  <si>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</si>
  <si>
    <t>0 คะแนน ให้ยาปฏิชีวนะได้ทันที</t>
  </si>
  <si>
    <t>1 คะแนน แนะนำรักษาตามอาการและไม่จ่ายยาปฏิชีวนะ</t>
  </si>
  <si>
    <t>2 คะแนน ควรส่งตรวจ RADT ก่อนให้ยา</t>
  </si>
  <si>
    <t>3 คะแนน พิจารณาให้ Azithromycin นาน 5 วัน</t>
  </si>
  <si>
    <t>4 คะแนน พิจารณาให้ Amoxicillin นาน 10 วัน</t>
  </si>
  <si>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</si>
  <si>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URTI</t>
  </si>
  <si>
    <t>ข้อ 2.1 Mock Infectious RxCU84</t>
  </si>
  <si>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</si>
  <si>
    <t>จ่าย Amoxicillin ตามความต้องการเพื่อเพิ่มความพึงพอใจและป้องกันโรคแทรกซ้อน</t>
  </si>
  <si>
    <t>อธิบายว่าอาการเจ็บคอจากไวรัสต้องใช้ Amoxicillin ควบคู่กับน้ำเกลือล้างจมูก</t>
  </si>
  <si>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</si>
  <si>
    <t>แนะนำให้ผู้ป่วยเปลี่ยนไปใช้ยาปฏิชีวนะกลุ่มที่แรงกว่า เช่น Roxithromycin เพื่อให้หายไวขึ้น</t>
  </si>
  <si>
    <t>แนะนำให้ผู้ป่วยตรวจ ATK และไปโรงพยาบาลเนื่องจากอาการเข้าข่าย Covid-19</t>
  </si>
  <si>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</si>
  <si>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2.2 Mock Infectious RxCU84</t>
  </si>
  <si>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</si>
  <si>
    <t>งดอาหารทุกชนิดก่อนกินยาอย่างน้อย 1 ชั่วโมงเสมอ</t>
  </si>
  <si>
    <t>ดื่มน้ำเต็มแก้ว ไม่นอนราบทันทีหลังกินยาอย่างน้อย 30 นาที และเลี่ยงนม/ยาลดกรด/ธาตุเหล็กใกล้เวลากินยา</t>
  </si>
  <si>
    <t>ต้องกินคู่กับนมเสมอเพื่อลดการระคายเคืองกระเพาะ</t>
  </si>
  <si>
    <t>ไม่มีข้อจำกัดเรื่องอาหารเลย เพราะ doxycycline ถูกรบกวนการดูดซึมจากอาหารเท่ากับ tetracycline รุ่นเก่า</t>
  </si>
  <si>
    <t>ต้องกินก่อนอาหารเท่านั้นห้ามกินหลังอาหาร</t>
  </si>
  <si>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</si>
  <si>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2.3 Mock Infectious RxCU84</t>
  </si>
  <si>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</si>
  <si>
    <t>ยับยั้ง DNA gyrase/topoisomerase IV ของแบคทีเรีย ซึ่งเป็นเป้าหมายที่ไม่มีอยู่ในไวรัส</t>
  </si>
  <si>
    <t>ยับยั้ง 30S ribosomal subunit ของไวรัส</t>
  </si>
  <si>
    <t>ยับยั้งการสร้าง capsid ของไวรัสโดยตรง</t>
  </si>
  <si>
    <t>ออกฤทธิ์เป็น bacteriostatic เท่านั้น จึงไม่มีฤทธิ์ฆ่าเชื้อใดๆ</t>
  </si>
  <si>
    <t>ต้องใช้ร่วมกับ macrolide เสมอจึงจะออกฤทธิ์ต่อไวรัสได้</t>
  </si>
  <si>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</si>
  <si>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2.4 Mock Infectious RxCU84</t>
  </si>
  <si>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</si>
  <si>
    <t>Oseltamivir 75 mg BID นาน 5 วัน</t>
  </si>
  <si>
    <t>Baloxavir marboxil 40 mg single dose</t>
  </si>
  <si>
    <t>Favipiravir 1,600 mg BID วันแรก</t>
  </si>
  <si>
    <t>Oseltamivir 150 mg BID นาน 5 วัน</t>
  </si>
  <si>
    <t>Amoxicillin/Clavulanate 1,000 mg BID นาน 10 วัน</t>
  </si>
  <si>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</si>
  <si>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3.1 Mock Infectious RxCU84</t>
  </si>
  <si>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</si>
  <si>
    <t>หญิงตั้งครรภ์มีความเสี่ยงต่อภาวะแทรกซ้อนเท่ากับคนปกติทั่วไป จึงไม่ต้องกังวลเป็นพิเศษ</t>
  </si>
  <si>
    <t>แนะนำให้พ่นวัคซีนป้องกันไข้หวัดใหญ่ชนิดเชื้ออ่อนฤทธิ์ (LAIV) ทันทีหลังหายป่วย</t>
  </si>
  <si>
    <t>วัคซีนไข้หวัดใหญ่ชนิดเชื้อตาย (IIV) สามารถฉีดได้ทุกไตรมาสของการตั้งครรภ์เพื่อป้องกันความรุนแรงของโรค</t>
  </si>
  <si>
    <t>หากคนในครอบครัวสัมผัสโรค แนะนำให้รับประทานยา Oseltamivir ป้องกันทันทีก่อนเริ่มมีอาการ</t>
  </si>
  <si>
    <t>ยาต้านไวรัส Oseltamivir ปลอดภัยสูงและสามารถใช้ร่วมกับการให้นมบุตรได้โดยไม่มีข้อจำกัด</t>
  </si>
  <si>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</si>
  <si>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3.2 Mock Infectious RxCU84</t>
  </si>
  <si>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</si>
  <si>
    <t>Acute uncomplicated cystitis</t>
  </si>
  <si>
    <t>Acute complicated cystitis</t>
  </si>
  <si>
    <t>Acute uncomplicated pyelonephritis</t>
  </si>
  <si>
    <t>Complicated urinary tract infection</t>
  </si>
  <si>
    <t>Asymptomatic bacteriuria</t>
  </si>
  <si>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</si>
  <si>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4.1 Mock Infectious RxCU84</t>
  </si>
  <si>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</si>
  <si>
    <t>Ciprofloxacin 500 mg รับประทานวันละ 2 ครั้ง เป็นเวลา 7 วัน</t>
  </si>
  <si>
    <t>Nitrofurantoin monohydrate/macrocrystals 100 mg รับประทานวันละ 2 ครั้ง พร้อมอาหาร เป็นเวลา 5 วัน</t>
  </si>
  <si>
    <t>Amoxicillin 500 mg รับประทานวันละ 3 ครั้ง หลังอาหาร เป็นเวลา 7 วัน</t>
  </si>
  <si>
    <t>Ceftriaxone 1 g ฉีดเข้าหลอดเลือดดำ ครั้งเดียว</t>
  </si>
  <si>
    <t>Norfloxacin 400 mg รับประทานวันละ 2 ครั้ง ก่อนอาหาร เป็นเวลา 3 วัน</t>
  </si>
  <si>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</si>
  <si>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4.2 Mock Infectious RxCU84</t>
  </si>
  <si>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</si>
  <si>
    <t>ละลายผงยาในน้ำอุ่น ดื่มทันทีพร้อมอาหารเช้าวันละ 1 ครั้ง ติดต่อกัน 3 วัน</t>
  </si>
  <si>
    <t>ละลายผงยาในน้ำเย็นหรือน้ำอุณหภูมิห้อง ดื่มครั้งเดียวตอนท้องว่าง (หรือก่อนนอนหลังจากปัสสาวะแล้ว)</t>
  </si>
  <si>
    <t>รับประทานร่วมกับยาลดกรดชนิดน้ำเพื่อป้องกันอาการกัดกระเพาะอาหาร</t>
  </si>
  <si>
    <t>แบ่งละลายยาครึ่งซอง (1.5 g) ดื่มเช้าและเย็นหลังอาหาร</t>
  </si>
  <si>
    <t>ละลายยาในนมหรือน้ำผลไม้เพื่อช่วยเพิ่มการดูดซึมยาเข้าสู่ร่างกาย</t>
  </si>
  <si>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</si>
  <si>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4.3 Mock Infectious RxCU84</t>
  </si>
  <si>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</si>
  <si>
    <t>Ciprofloxacin เพราะยับยั้งเอนไซม์ CYP1A2</t>
  </si>
  <si>
    <t>Norfloxacin เพราะดูดซึมทางปากไม่ดี</t>
  </si>
  <si>
    <t>Moxifloxacin เพราะขับออกทางไตน้อย ไม่ได้ความเข้มข้นเพียงพอในปัสสาวะ</t>
  </si>
  <si>
    <t>Levofloxacin เพราะใช้รักษาเฉพาะโรคปอดเท่านั้น</t>
  </si>
  <si>
    <t>Gemifloxacin เพราะไม่มีฤทธิ์ต่อเชื้อแกรมลบเลย</t>
  </si>
  <si>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</si>
  <si>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4.4 Mock Infectious RxCU84</t>
  </si>
  <si>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</si>
  <si>
    <t>ไม่มีความสำคัญ เพราะ fluoroquinolone ยังคงได้ผลดีเท่ากันในทุกภูมิภาคของโลก</t>
  </si>
  <si>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</si>
  <si>
    <t>ทำให้ต้องปรับขนาดยาตามการทำงานของตับเป็นพิเศษ</t>
  </si>
  <si>
    <t>เพิ่มความเสี่ยง tendon rupture จากสภาพอากาศร้อนระหว่างเดินทาง</t>
  </si>
  <si>
    <t>ทำให้ต้องหลีกเลี่ยงยากลุ่มนี้เฉพาะในหญิงตั้งครรภ์เท่านั้น</t>
  </si>
  <si>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</si>
  <si>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4.5 Mock Infectious RxCU84</t>
  </si>
  <si>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</si>
  <si>
    <t>กินพร้อมกันได้เลย ไม่มีปฏิกิริยาต่อกัน</t>
  </si>
  <si>
    <t>เว้นระยะห่างระหว่างกิน norfloxacin กับแคลเซียมเสริมอย่างน้อย 2 ชั่วโมง</t>
  </si>
  <si>
    <t>ให้หยุดกินแคลเซียมเสริมถาวรตลอดชีวิต</t>
  </si>
  <si>
    <t>เปลี่ยนไปใช้แคลเซียมชนิดฉีดแทนทันที</t>
  </si>
  <si>
    <t>ให้กินแคลเซียมพร้อมยาเพื่อลดการระคายเคืองกระเพาะจาก norfloxacin</t>
  </si>
  <si>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</si>
  <si>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4.6 Mock Infectious RxCU84</t>
  </si>
  <si>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</si>
  <si>
    <t>จ่ายยาปฏิชีวนะทันที เนื่องจากมีไข้และระดับความปวดสูง</t>
  </si>
  <si>
    <t>จ่าย Amoxicillin-Clavulanate ทันที เนื่องจากผู้ป่วยเริ่มรับประทานอาหารได้น้อยลง</t>
  </si>
  <si>
    <t>แนะนำการจัดการความเจ็บปวดเป็นอันดับแรก และพิจารณาเฝ้าสังเกตอาการ (Watchful waiting) 48-72 ชั่วโมง</t>
  </si>
  <si>
    <t>ส่งต่อโรงพยาบาลทันที เนื่องจากเสี่ยงต่อภาวะเยื่อหุ้มสมองอักเสบแทรกซ้อน</t>
  </si>
  <si>
    <t>แนะนำให้ใช้ยาหยอดหูที่มีส่วนผสมของยาปฏิชีวนะร่วมกับยาลดไข้</t>
  </si>
  <si>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</si>
  <si>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5.1 Mock Infectious RxCU84</t>
  </si>
  <si>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</si>
  <si>
    <t>Amoxicillin 40-50 mg/kg/day นาน 5 วัน</t>
  </si>
  <si>
    <t>Amoxicillin 80-90 mg/kg/day นาน 7 วัน</t>
  </si>
  <si>
    <t>Amoxicillin-Clavulanate 90 mg/kg/day นาน 10 วัน</t>
  </si>
  <si>
    <t>Azithromycin 10 mg/kg วันแรก ตามด้วย 5 mg/kg อีก 4 วัน</t>
  </si>
  <si>
    <t>Cephalexin 50 mg/kg/day นาน 10 วัน</t>
  </si>
  <si>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</si>
  <si>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5.2 Mock Infectious RxCU84</t>
  </si>
  <si>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</si>
  <si>
    <t>ให้รับประทานยาปฏิชีวนะต่อไปจนครบ 3 วันเพื่อดูการตอบสนองของยาอีกครั้ง</t>
  </si>
  <si>
    <t>สั่งให้หยุดยาปฏิชีวนะทันทีและรีบส่งตัวผู้ป่วยไปยังห้องฉุกเฉินของโรงพยาบาลโดยด่วน</t>
  </si>
  <si>
    <t>แนะนำให้ใช้ยาฆ่าเชื้อชนิดทาบริเวณผิวหนังที่พุพองและใช้ยาป้ายปากเพื่อรักษาแผลเปื่อย</t>
  </si>
  <si>
    <t>อาการแผลเปื่อยรอบปากเป็นอาการปกติของการติดเชื้อไวรัสซ้ำซ้อน ไม่เกี่ยวข้องกับยาปฏิชีวนะ</t>
  </si>
  <si>
    <t>ให้ Antihistamine ขนาดสูงเพื่อยับยั้งอาการ และเช็ดตัวบ่อยๆ พร้อมเฝ้าดูอาการต่อที่บ้าน 24 ชั่วโมง</t>
  </si>
  <si>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</si>
  <si>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5.3 Mock Infectious RxCU84</t>
  </si>
  <si>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</si>
  <si>
    <t>เสี่ยงฟันเปลี่ยนสีถาวรและกดการเจริญเติบโตของกระดูก เนื่องจากยาจับกับแคลเซียมในกระดูก/ฟันที่กำลังสร้าง</t>
  </si>
  <si>
    <t>เสี่ยง tendon rupture สูงเป็นพิเศษในเด็ก</t>
  </si>
  <si>
    <t>เสี่ยง ototoxicity ถาวรในเด็กเล็กโดยเฉพาะ</t>
  </si>
  <si>
    <t>เสี่ยง QT prolongation รุนแรงกว่าผู้ใหญ่มาก</t>
  </si>
  <si>
    <t>ไม่มีรูปแบบยาน้ำสำหรับเด็กเล็ก</t>
  </si>
  <si>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</si>
  <si>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5.4 Mock Infectious RxCU84</t>
  </si>
  <si>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</si>
  <si>
    <t>Gentamicin — ครอบคลุม H. influenzae ได้ดีเยี่ยม</t>
  </si>
  <si>
    <t>Clindamycin — ครอบคลุมเชื้อแกรมบวกได้ดี แต่ไม่ครอบคลุม H. influenzae ซึ่งเป็นเชื้อก่อโรคหูชั้นกลางอักเสบที่พบบ่อย</t>
  </si>
  <si>
    <t>Moxifloxacin — เป็นยาทางเลือกแรกในเด็กเมื่อแพ้ penicillin</t>
  </si>
  <si>
    <t>Tigecycline — ปลอดภัยและใช้ได้ทั่วไปในเด็กเล็ก</t>
  </si>
  <si>
    <t>Doxycycline — ครอบคลุมเชื้อก่อโรคหูชั้นกลางอักเสบได้ครบถ้วน</t>
  </si>
  <si>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</si>
  <si>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5.5 Mock Infectious RxCU84</t>
  </si>
  <si>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</si>
  <si>
    <t>เพราะมีราคาแพงเกินไปสำหรับผู้ป่วยเด็ก</t>
  </si>
  <si>
    <t>เพราะมีความเป็นพิษต่อกระดูกอ่อน (cartilage toxicity) จากการศึกษาในสัตว์ทดลอง จึงหลีกเลี่ยงในเด็กและหญิงตั้งครรภ์</t>
  </si>
  <si>
    <t>เพราะไม่มีรูปแบบยาน้ำสำหรับเด็ก</t>
  </si>
  <si>
    <t>เพราะออกฤทธิ์แบบ bacteriostatic เท่านั้นในผู้ป่วยเด็ก</t>
  </si>
  <si>
    <t>เพราะเพิ่มความเสี่ยง Fanconi syndrome เฉพาะในเด็กเท่านั้น</t>
  </si>
  <si>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</si>
  <si>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5.6 Mock Infectious RxCU84</t>
  </si>
  <si>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</si>
  <si>
    <t>Acute hepatitis B</t>
  </si>
  <si>
    <t>Chronic hepatitis B</t>
  </si>
  <si>
    <t>เคยติดเชื้อ hepatitis B และรักษาหายแล้ว</t>
  </si>
  <si>
    <t>ได้รับวัคซีนป้องกัน hepatitis B และมีภูมิคุ้มกัน</t>
  </si>
  <si>
    <t>อยู่ในช่วง Window period ของการติดเชื้อ</t>
  </si>
  <si>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</si>
  <si>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8.1 Mock Infectious RxCU84</t>
  </si>
  <si>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</si>
  <si>
    <t>ผู้ป่วยเป็น acute hepatitis B</t>
  </si>
  <si>
    <t>Immune Tolerance Phase</t>
  </si>
  <si>
    <t>Immune Active Phase</t>
  </si>
  <si>
    <t>Inactive Carrier Phase</t>
  </si>
  <si>
    <t>Reactivation Phase</t>
  </si>
  <si>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</si>
  <si>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8.2 Mock Infectious RxCU84</t>
  </si>
  <si>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</si>
  <si>
    <t>Tenofovir disoproxil fumarate (TDF) 300 mg รับประทานวันละ 1 ครั้ง</t>
  </si>
  <si>
    <t>Lamivudine 100 mg รับประทานวันละ 1 ครั้ง</t>
  </si>
  <si>
    <t>Entecavir 0.5 mg รับประทานวันละ 1 ครั้ง (ปรับขนาดตามการทำงานของไต)</t>
  </si>
  <si>
    <t>Peginterferon alfa-2a 180 mcg ฉีดใต้ผิวหนังสัปดาห์ละ 1 ครั้ง</t>
  </si>
  <si>
    <t>Telbivudine 600 mg รับประทานวันละ 1 ครั้ง</t>
  </si>
  <si>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</si>
  <si>
    <t>ข้อ 8.3 Mock Infectious RxCU84</t>
  </si>
  <si>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</si>
  <si>
    <t>ทำให้ค่า AST และ ALT กลับสู่ศูนย์</t>
  </si>
  <si>
    <t>ทำให้ HBsAg เปลี่ยนเป็นลบในผู้ป่วยทุกราย</t>
  </si>
  <si>
    <t>กำจัด HBV cccDNA ออกจากเซลล์ตับให้หมด</t>
  </si>
  <si>
    <t>ลดการดำเนินโรคไปสู่ตับแข็ง มะเร็งตับ และลดอัตราการเสียชีวิต</t>
  </si>
  <si>
    <t>ทำให้ Anti-HBs เปลี่ยนเป็นบวกภายใน 6 เดือน</t>
  </si>
  <si>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</si>
  <si>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8.4 Mock Infectious RxCU84</t>
  </si>
  <si>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</si>
  <si>
    <t>เพื่อยืนยันว่าผู้ป่วยเคยได้รับวัคซีนป้องกันไวรัสตับอักเสบบี</t>
  </si>
  <si>
    <t>เพื่อประเมินระดับการแบ่งตัวของไวรัส และใช้ประกอบการตัดสินใจเริ่มรักษา รวมถึงติดตามผลการรักษา</t>
  </si>
  <si>
    <t>เพื่อยืนยันภาวะตับแข็ง</t>
  </si>
  <si>
    <t>เพื่อประเมินระดับภูมิคุ้มกันต่อไวรัสตับอักเสบบี</t>
  </si>
  <si>
    <t>เพื่อยืนยันการติดเชื้อไวรัสตับอักเสบชนิดเอร่วมด้วย</t>
  </si>
  <si>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</si>
  <si>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8.5 Mock Infectious RxCU84</t>
  </si>
  <si>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</si>
  <si>
    <t>Community-acquired pneumonia (CAP)</t>
  </si>
  <si>
    <t>Pulmonary tuberculosis</t>
  </si>
  <si>
    <t>Lung cancer</t>
  </si>
  <si>
    <t>Bronchiectasis</t>
  </si>
  <si>
    <t>Pneumocystis jirovecii pneumonia (PJP)</t>
  </si>
  <si>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</si>
  <si>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Tuberculosis</t>
  </si>
  <si>
    <t>ข้อ 9.1 Mock Infectious RxCU84</t>
  </si>
  <si>
    <t>ผู้ป่วยหญิงอายุ 29 ปี ผลตรวจเสมหะพบ AFB sputum smear 3+
คำถาม: ผล AFB sputum smear 3+ ในผู้ป่วยรายนี้มีความหมายมากที่สุดข้อใด?</t>
  </si>
  <si>
    <t>ยืนยันว่าเชื้อดื้อต่อยา Rifampicin</t>
  </si>
  <si>
    <t>ผู้ป่วยมีเชื้อวัณโรคในกระแสเลือด</t>
  </si>
  <si>
    <t>พบเชื้อ acid-fast bacilli ในเสมหะจำนวนมาก และมีโอกาสแพร่เชื้อสูง</t>
  </si>
  <si>
    <t>ยืนยันว่าเป็นเชื้อ Mycobacterium tuberculosis โดยไม่ต้องตรวจเพิ่มเติม</t>
  </si>
  <si>
    <t>ผู้ป่วยมีภาวะติดเชื้อแบคทีเรียแทรกซ้อนในทางเดินหายใจส่วนบน</t>
  </si>
  <si>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</si>
  <si>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 9.2 Mock Infectious RxCU84</t>
  </si>
  <si>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</si>
  <si>
    <t>2HRZE / 4HR</t>
  </si>
  <si>
    <t>2HR / 7HR</t>
  </si>
  <si>
    <t>6HRZE</t>
  </si>
  <si>
    <t>9HR</t>
  </si>
  <si>
    <t>2HRZ / 4HR</t>
  </si>
  <si>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</si>
  <si>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 9.3 Mock Infectious RxCU84</t>
  </si>
  <si>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</si>
  <si>
    <t>Isoniazid – ปลายมือปลายเท้าชา, Rifampicin – ปัสสาวะสีส้มแดง, Pyrazinamide – กรดยูริกสูงและปวดข้อ, Ethambutol – ตามัวและมองเห็นสีแดง-เขียวผิดปกติ</t>
  </si>
  <si>
    <t>Isoniazid – ปัสสาวะสีส้มแดง, Rifampicin – ปลายมือปลายเท้าชา, Pyrazinamide – ตามัว, Ethambutol – กรดยูริกสูง</t>
  </si>
  <si>
    <t>Isoniazid – ตามัว, Rifampicin – กรดยูริกสูง, Pyrazinamide – ปลายมือปลายเท้าชา, Ethambutol – ปัสสาวะสีส้มแดง</t>
  </si>
  <si>
    <t>Isoniazid – ปวดข้อ, Rifampicin – ตามัว, Pyrazinamide – ปัสสาวะสีส้มแดง, Ethambutol – ชาปลายมือปลายเท้า</t>
  </si>
  <si>
    <t>Isoniazid – หูดับ, Rifampicin – ตับอักเสบ, Pyrazinamide – ผื่นลมพิษ, Ethambutol – ไตวาย</t>
  </si>
  <si>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</si>
  <si>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ข้อ 9.4 Mock Infectious RxCU84</t>
  </si>
  <si>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</si>
  <si>
    <t>หากปัสสาวะเป็นสีส้มแดง ให้หยุดยา Rifampicin ทันที</t>
  </si>
  <si>
    <t>หากมีอาการตามัวหรือมองเห็นสีผิดปกติ ควรหยุดยาเองและรอพบแพทย์ตามนัด</t>
  </si>
  <si>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</si>
  <si>
    <t>เมื่ออาการไอดีขึ้นสามารถหยุดยาต้านวัณโรคได้เองเพื่อป้องกันผลข้างเคียง</t>
  </si>
  <si>
    <t>ควรรับประทานยาทุกชนิดพร้อมอาหารมื้อหนักเพื่อป้องกันอาการคลื่นไส้</t>
  </si>
  <si>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</si>
  <si>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 9.5 Mock Infectious RxCU84</t>
  </si>
  <si>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</si>
  <si>
    <t>Non-inflammatory acne ชนิด closed comedone</t>
  </si>
  <si>
    <t>Non-inflammatory acne ชนิด open comedone</t>
  </si>
  <si>
    <t>Inflammatory acne ชนิด papule</t>
  </si>
  <si>
    <t>Inflammatory acne ชนิด pustule</t>
  </si>
  <si>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</si>
  <si>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10.1 Mock Infectious RxCU84</t>
  </si>
  <si>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</si>
  <si>
    <t>Oral isotretinoin เพียงอย่างเดียว</t>
  </si>
  <si>
    <t>Oral doxycycline เพียงอย่างเดียว</t>
  </si>
  <si>
    <t>Topical benzoyl peroxide</t>
  </si>
  <si>
    <t>Oral quinolone ร่วมกับ topical retinoid</t>
  </si>
  <si>
    <t>Oral isotretinoin ร่วมกับ oral doxycycline</t>
  </si>
  <si>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</si>
  <si>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10.2 Mock Infectious RxCU84</t>
  </si>
  <si>
    <t>การให้คำแนะนำการใช้ยา Benzoyl Peroxide 2.5% ครีม/เจล
คำถาม: เภสัชกรเลือก benzoyl peroxide 2.5% ให้ผู้ป่วยรายนี้ ข้อใดเป็นคำแนะนำที่เหมาะสมที่สุด?</t>
  </si>
  <si>
    <t>ทายาบาง ๆ วันละ 2 ครั้ง และหากแสบให้เพิ่มความถี่เพื่อให้ผิวชินยา</t>
  </si>
  <si>
    <t>ทาเฉพาะบริเวณที่มีหัวหนองเท่านั้น และควรใช้เป็นยาเดี่ยว</t>
  </si>
  <si>
    <t>ระวังการสัมผัสเสื้อผ้าและเส้นผม เนื่องจากยาอาจทำให้เกิด bleaching</t>
  </si>
  <si>
    <t>ทา benzoyl peroxide หลัง retinoid ทันทีทุกครั้งเพื่อเพิ่มประสิทธิภาพ</t>
  </si>
  <si>
    <t>หลีกเลี่ยง moisturizer เพราะจะทำให้เกิด comedone เพิ่มขึ้น</t>
  </si>
  <si>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</si>
  <si>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10.3 Mock Infectious RxCU84</t>
  </si>
  <si>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</si>
  <si>
    <t>Tretinoin topical</t>
  </si>
  <si>
    <t>Adapalene topical</t>
  </si>
  <si>
    <t>Doxycycline oral</t>
  </si>
  <si>
    <t>Isotretinoin oral</t>
  </si>
  <si>
    <t>Azelaic acid topical</t>
  </si>
  <si>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</si>
  <si>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10.4 Mock Infectious RxCU84</t>
  </si>
  <si>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</si>
  <si>
    <t>แนะนำให้รับประทานอาหารที่มี glycemic index สูงเพื่อเพิ่มพลังงานและลดการอักเสบ ร่วมกับการรักษาสิว</t>
  </si>
  <si>
    <t>แนะนำให้หยุดยารักษาสิวทั้งหมดและรักษาด้วยการควบคุมอาหารเพียงอย่างเดียว</t>
  </si>
  <si>
    <t>แนะนำให้ลดการรับประทานอาหารที่มี glycemic load สูง ร่วมกับการรักษาสิว</t>
  </si>
  <si>
    <t>แนะนำให้รับประทาน vitamin A ขนาดสูงทุกวันเพื่อทดแทน isotretinoin</t>
  </si>
  <si>
    <t>แนะนำให้รับประทาน zinc ขนาดสูงเป็นการรักษาหลักแทน topical therapy</t>
  </si>
  <si>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</si>
  <si>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10.5 Mock Infectious RxCU84</t>
  </si>
  <si>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</si>
  <si>
    <t>โรคเริมอวัยวะเพศ (Genital Herpes)</t>
  </si>
  <si>
    <t>โรคแผลริมอ่อน (Chancroid)</t>
  </si>
  <si>
    <t>โรคซิฟิลิสระยะที่ 1 (Primary Syphilis)</t>
  </si>
  <si>
    <t>ช่องคลอดอักเสบจากเชื้อรา (Vulvovaginal Candidiasis)</t>
  </si>
  <si>
    <t>โรคหูดข้าวสุก (Molluscum Contagiosum)</t>
  </si>
  <si>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</si>
  <si>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11.1 Mock Infectious RxCU84</t>
  </si>
  <si>
    <t>การรักษา Primary Syphilis ในผู้ป่วยติดเชื้อ HIV
คำถาม: ข้อใดคือแนวทางการรักษาด้วยยาปฏิชีวนะที่เหมาะสมที่สุดสำหรับผู้ป่วยรายนี้?</t>
  </si>
  <si>
    <t>Ceftriaxone 1 g ฉีดเข้ากล้ามเนื้อ ครั้งเดียว</t>
  </si>
  <si>
    <t>Doxycycline 100 mg รับประทานวันละ 2 ครั้ง นาน 14 วัน</t>
  </si>
  <si>
    <t>Benzathine Penicillin G 2.4 million units ฉีดเข้ากล้ามเนื้อ ครั้งเดียว</t>
  </si>
  <si>
    <t>Benzathine Penicillin G 2.4 million units ฉีดเข้ากล้ามเนื้อ สัปดาห์ละครั้ง นาน 3 สัปดาห์</t>
  </si>
  <si>
    <t>Azithromycin 1 g รับประทานครั้งเดียว</t>
  </si>
  <si>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</si>
  <si>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11.2 Mock Infectious RxCU84</t>
  </si>
  <si>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</si>
  <si>
    <t>แผลที่อวัยวะเพศมักจะมีอาการเจ็บปวดรุนแรงกว่าผู้ที่ไม่ติดเชื้อ HIV</t>
  </si>
  <si>
    <t>มีโอกาสตรวจพบอาการแสดงของซิฟิลิสระยะที่ 1 และระยะที่ 2 เกิดขึ้นพร้อมกัน (Overlap)</t>
  </si>
  <si>
    <t>ต่อมน้ำเหลืองที่ขาหนีบมักจะอักเสบจนแตกเป็นหนอง (Bubo) ได้ง่ายกว่า</t>
  </si>
  <si>
    <t>เชื้อสไปโรขีดมักจะไม่สามารถตรวจพบได้ด้วยการส่องกล้อง Dark-field</t>
  </si>
  <si>
    <t>แผลริมแข็ง (Chancre) จะหายช้ากว่าคนปกติและกลายเป็นแผลเรื้อรังเสมอ</t>
  </si>
  <si>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</si>
  <si>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11.3 Mock Infectious RxCU84</t>
  </si>
  <si>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</si>
  <si>
    <t>ภาวะท่อปัสสาวะอักเสบ (Urethritis)</t>
  </si>
  <si>
    <t>โรคหูดหงอนไก่ (Anogenital Warts)</t>
  </si>
  <si>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</si>
  <si>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12.1 Mock Infectious RxCU84</t>
  </si>
  <si>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</si>
  <si>
    <t>Azithromycin 1 g รับประทานครั้งเดียว เพียงอย่างเดียว</t>
  </si>
  <si>
    <t>Norfloxacin 400 mg รับประทานวันละ 2 ครั้ง นาน 3 วัน</t>
  </si>
  <si>
    <t>Ceftriaxone 1 g ฉีดเข้ากล้ามเนื้อ ครั้งเดียว ร่วมกับ Doxycycline 100 mg รับประทานวันละ 2 ครั้ง นาน 7 วัน</t>
  </si>
  <si>
    <t>Metronidazole 2 g รับประทานครั้งเดียว ร่วมกับ Ciprofloxacin 500 mg รับประทานครั้งเดียว</t>
  </si>
  <si>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</si>
  <si>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12.2 Mock Infectious RxCU84</t>
  </si>
  <si>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</si>
  <si>
    <t>Taenia solium</t>
  </si>
  <si>
    <t>Ancylostoma duodenale</t>
  </si>
  <si>
    <t>Enterobius vermicularis</t>
  </si>
  <si>
    <t>Ascaris lumbricoides</t>
  </si>
  <si>
    <t>Wuchereria bancrofti</t>
  </si>
  <si>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</si>
  <si>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Parasitic infections</t>
  </si>
  <si>
    <t>ข้อ 13.1 Mock Infectious RxCU84</t>
  </si>
  <si>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</si>
  <si>
    <t>ล้างมือก่อนรับประทานอาหารทุกครั้ง</t>
  </si>
  <si>
    <t>ตัดเล็บมือให้สั้น</t>
  </si>
  <si>
    <t>ซักผ้าปูที่นอนทุกวัน</t>
  </si>
  <si>
    <t>สวมรองเท้าขณะทำงานหรือเดินบนพื้นดิน</t>
  </si>
  <si>
    <t>หลีกเลี่ยงการรับประทานปลาน้ำจืด</t>
  </si>
  <si>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</si>
  <si>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13.2 Mock Infectious RxCU84</t>
  </si>
  <si>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</si>
  <si>
    <t>Hookworm</t>
  </si>
  <si>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</si>
  <si>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13.3 Mock Infectious RxCU84</t>
  </si>
  <si>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</si>
  <si>
    <t>หลีกเลี่ยงการรับประทานเนื้อหมูดิบหรือปรุงไม่สุก</t>
  </si>
  <si>
    <t>สวมรองเท้าทุกครั้งเมื่อออกจากบ้าน</t>
  </si>
  <si>
    <t>ล้างมือหลังเข้าห้องน้ำเท่านั้น</t>
  </si>
  <si>
    <t>หลีกเลี่ยงการสัมผัสสุนัขและแมว</t>
  </si>
  <si>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</si>
  <si>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13.4 Mock Infectious RxCU84</t>
  </si>
  <si>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</si>
  <si>
    <t>รับประทานยาซ้ำในวันถัดไป</t>
  </si>
  <si>
    <t>รับประทานยาซ้ำหลัง 2 สัปดาห์</t>
  </si>
  <si>
    <t>สวมรองเท้าตลอดเวลา</t>
  </si>
  <si>
    <t>หลีกเลี่ยงการรับประทานเนื้อหมู</t>
  </si>
  <si>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</si>
  <si>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13.5 Mock Infectious RxCU84</t>
  </si>
  <si>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</si>
  <si>
    <t>Primary infection จาก Varicella-Zoster Virus (VZV)</t>
  </si>
  <si>
    <t>Recurrent episode ของ Herpes Labialis จาก Herpes Simplex Virus type 1 (HSV-1)</t>
  </si>
  <si>
    <t>Genital Herpes จาก Herpes Simplex Virus type 2 (HSV-2)</t>
  </si>
  <si>
    <t>Impetigo จากการติดเชื้อ Staphylococcus aureus</t>
  </si>
  <si>
    <t>Common Warts จาก Human Papillomavirus (HPV)</t>
  </si>
  <si>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</si>
  <si>
    <t>ข้อ 15.1 Mock Infectious RxCU84</t>
  </si>
  <si>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</si>
  <si>
    <t>สามารถใช้ครีม Topical Corticosteroid ทาบริเวณแผลเพื่อลดอาการปวดแสบปวดร้อนได้ทันที</t>
  </si>
  <si>
    <t>หลีกเลี่ยงแสงแดด ความเครียด และการนอนดึก เนื่องจากเป็นปัจจัยกระตุ้นให้โรคกลับเป็นซ้ำ</t>
  </si>
  <si>
    <t>เมื่อแผลแห้งตกสะเก็ดแล้ว เชื้อไวรัสจะถูกกำจัดออกจากร่างกายจนหมด ไม่กลับมาเป็นอีก</t>
  </si>
  <si>
    <t>สามารถใช้ลิปมัน หรือภาชนะใส่อาหารร่วมกับผู้อื่นได้ตามปกติเพราะไม่มีการแพร่เชื้อทางสัมผัส</t>
  </si>
  <si>
    <t>หากแผลตกสะเก็ดช้า แนะนำให้แกะสะเก็ดออกเพื่อสะกิดตุ่มน้ำให้แห้งเร็วขึ้น</t>
  </si>
  <si>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</si>
  <si>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15.2 Mock Infectious RxCU84</t>
  </si>
  <si>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</si>
  <si>
    <t>เหมาะสมที่สุด: Acyclovir 5% cream / ห้ามใช้: Mupirocin ointment</t>
  </si>
  <si>
    <t>เหมาะสมที่สุด: Acyclovir 5% cream / ห้ามใช้: Topical Corticosteroid</t>
  </si>
  <si>
    <t>เหมาะสมที่สุด: Topical Corticosteroid / ห้ามใช้: Acyclovir 5% cream</t>
  </si>
  <si>
    <t>เหมาะสมที่สุด: Clotrimazole cream / ห้ามใช้: Topical Corticosteroid</t>
  </si>
  <si>
    <t>เหมาะสมที่สุด: Calamine lotion / ห้ามใช้: Docosanol cream</t>
  </si>
  <si>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</si>
  <si>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15.3 Mock Infectious RxCU84</t>
  </si>
  <si>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</si>
  <si>
    <t>ห้ามทานยา Acyclovir พร้อมกับ Losartan เด็ดขาด เพราะจะทำให้ความดันโลหิตลดต่ำลงอย่างรุนแรง</t>
  </si>
  <si>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</si>
  <si>
    <t>ยา Acyclovir อาจทำให้ระดับโพแทสเซียมในเลือดสูงขึ้น ควรหลีกเลี่ยงการทานกล้วยหรือส้มร่วมกับยา Losartan</t>
  </si>
  <si>
    <t>แนะนำให้หยุดยา HCTZ ชั่วคราวเป็นเวลา 7 วัน จนกว่าจะทานยา Acyclovir หมด เพื่อป้องกันตับอักเสบ</t>
  </si>
  <si>
    <t>ยา Acyclovir จะไปลดฤทธิ์ของยาความดันโลหิตทั้งสองตัว แนะนำให้วัดความดันโลหิตทุกวัน</t>
  </si>
  <si>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</si>
  <si>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15.4 Mock Infectious RxCU84</t>
  </si>
  <si>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</si>
  <si>
    <t>สามารถหอมแก้มหลานได้ทันที เพราะเมื่อตุ่มน้ำแตกออก เชื้อไวรัสจะถูกทำลายไปทั้งหมด</t>
  </si>
  <si>
    <t>สามารถหอมแก้มได้ตามปกติ เพราะเชื้อ HSV-1 แพร่กระจายผ่านทางละอองฝุ่นในอากาศ (Airborne) เท่านั้น ไม่ได้ติดผ่านการสัมผัส</t>
  </si>
  <si>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</si>
  <si>
    <t>เชื้อเริมสามารถแพร่ไปยังผู้อื่นได้เฉพาะผู้ที่มีภูมิคุ้มกันบกพร่องเท่านั้น เด็กวัย 2 ขวบมีภูมิคุ้มกันสูงจึงไม่ติดเชื้อแน่นอน</t>
  </si>
  <si>
    <t>แนะนำให้หลานสาวรับประทานยา Acyclovir 200 mg วันละครั้งล่วงหน้าเพื่อป้องกันการติดเชื้อ (Post-contact prophylaxis)</t>
  </si>
  <si>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</si>
  <si>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15.5 Mock Infectious RxCU84</t>
  </si>
  <si>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</si>
  <si>
    <t>Candidal intertrigo — เพราะมีผื่นแดงคัน</t>
  </si>
  <si>
    <t>Tinea pedis interdigital type — เพราะคันที่ง่ามนิ้วเท้า ผิวลอก ในคนที่สวมรองเท้าปิดนาน เหงื่อออกมาก</t>
  </si>
  <si>
    <t>Erythrasma — เพราะพบบ่อยที่ง่ามนิ้วเท้าเช่นกัน</t>
  </si>
  <si>
    <t>Contact dermatitis — เพราะเริ่มเป็นเฉียบพลันเมื่อวาน</t>
  </si>
  <si>
    <t>Psoriasis vulgaris — เพราะมีขุยสีเงินหนาตัว</t>
  </si>
  <si>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</si>
  <si>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16.1 Mock Infectious RxCU84</t>
  </si>
  <si>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</si>
  <si>
    <t>Wood's lamp — คาดว่าเรืองแสงสีเขียว</t>
  </si>
  <si>
    <t>Tzanck smear — คาดว่าพบ multinucleated giant cell</t>
  </si>
  <si>
    <t>KOH preparation จากบริเวณขุยที่ผื่น — คาดว่าพบ septate branching hyphae</t>
  </si>
  <si>
    <t>Gram stain — คาดว่าพบ gram-positive cocci</t>
  </si>
  <si>
    <t>Dark-field microscopy — คาดว่าพบ motile spirochetes</t>
  </si>
  <si>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</si>
  <si>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16.2 Mock Infectious RxCU84</t>
  </si>
  <si>
    <t>ผู้ป่วย Tinea pedis interdigital type รอยโรคเฉพาะที่ ไม่มีภาวะแทรกซ้อน
คำถาม: ผู้ป่วยรายนี้ควรได้รับการรักษาด้วยยาใดเป็นอันดับแรก?</t>
  </si>
  <si>
    <t>Itraconazole 200 มก. รับประทานวันละครั้ง นาน 7 วัน</t>
  </si>
  <si>
    <t>Terbinafine 1% cream ทาวันละครั้ง นาน 2-4 สัปดาห์</t>
  </si>
  <si>
    <t>Prednisolone cream ทาวันละ 2 ครั้ง นาน 1 สัปดาห์</t>
  </si>
  <si>
    <t>Ketoconazole 200 มก. รับประทานวันละครั้ง นาน 2-4 สัปดาห์</t>
  </si>
  <si>
    <t>Griseofulvin 500 มก. รับประทานวันละ 1 ครั้ง นาน 4-6 สัปดาห์</t>
  </si>
  <si>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</si>
  <si>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16.3 Mock Infectious RxCU84</t>
  </si>
  <si>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</si>
  <si>
    <t>เช็ดเท้าให้แห้งสนิทโดยเฉพาะซอกนิ้วเท้าหลังอาบน้ำทุกครั้ง</t>
  </si>
  <si>
    <t>สวมถุงเท้าชนิดดูดซับความชื้นได้ดี และเปลี่ยนถุงเท้าบ่อยๆ</t>
  </si>
  <si>
    <t>ใช้แป้งโรยเท้า/รองเท้า/ถุงเท้าที่ผสมยาต้านเชื้อราเป็นประจำเพื่อลดการกลับเป็นซ้ำ</t>
  </si>
  <si>
    <t>ทายาต่อเนื่องจนกว่าอาการคันจะหายไป แล้วหยุดยาได้ทันที</t>
  </si>
  <si>
    <t>หลีกเลี่ยงการสวมใส่รองเท้าที่คับหรืออับชื้นเกินไป</t>
  </si>
  <si>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</si>
  <si>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16.4 Mock Infectious RxCU84</t>
  </si>
  <si>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</si>
  <si>
    <t>เพิ่มความถี่การทา terbinafine cream เป็นวันละ 3 ครั้ง</t>
  </si>
  <si>
    <t>เปลี่ยนเป็น topical steroid ร่วมกับ antifungal cream เดิม</t>
  </si>
  <si>
    <t>เปลี่ยนเป็น oral antifungal เนื่องจากเข้าลักษณะ moccasin-type tinea pedis ที่ตอบสนองต่อยาทาไม่ดี</t>
  </si>
  <si>
    <t>หยุดยาทาทันทีเพราะน่าจะเป็นการแพ้ยา</t>
  </si>
  <si>
    <t>เปลี่ยนเป็นยาทา Ketoconazole cream ทาร่วมกับ Clotrimazole powder</t>
  </si>
  <si>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</si>
  <si>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16.5 Mock Infectious RxCU84</t>
  </si>
  <si>
    <t>Sulfonamide เป็น competitive antagonist ของสารใด</t>
  </si>
  <si>
    <t>PABA</t>
  </si>
  <si>
    <t>PAS</t>
  </si>
  <si>
    <t>Vitamin B5</t>
  </si>
  <si>
    <t>THF</t>
  </si>
  <si>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</si>
  <si>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 Pharma Plus เล่มม่วง (เฉลยข้อ ข)</t>
  </si>
  <si>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</si>
  <si>
    <t>Candidiasis</t>
  </si>
  <si>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</si>
  <si>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</si>
  <si>
    <t>เริ่มใช้ GPO-vir ทันที</t>
  </si>
  <si>
    <t>เริ่มให้ GPO-vir เมื่อ CD4 &lt; 200 cell/mm³</t>
  </si>
  <si>
    <t>เริ่ม GPO-vir เมื่ออายุครรภ์ 28 สัปดาห์</t>
  </si>
  <si>
    <t>เริ่ม AZT ทันทีเมื่ออายุครรภ์ 28 สัปดาห์</t>
  </si>
  <si>
    <t>เริ่มให้ TDF + 3TC + EFV ทันที</t>
  </si>
  <si>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</si>
  <si>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หญิงอายุ 35 ปี เห็นปล้องพยาธิแบนคล้ายริบบิ้นตอนถ่าย มีประวัติชอบทานสุกๆดิบๆ มาซื้อยาถ่ายพยาธิ
ผู้ป่วยรายนี้ติดพยาธิอะไร</t>
  </si>
  <si>
    <t>พยาธิใบไม้</t>
  </si>
  <si>
    <t>พยาธิเท้าช้าง</t>
  </si>
  <si>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</si>
  <si>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ยาทาสิวที่เป็น antibiotic</t>
  </si>
  <si>
    <t>ก ข</t>
  </si>
  <si>
    <t>ก ข ค</t>
  </si>
  <si>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</si>
  <si>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</si>
  <si>
    <t>Epidermophyton floccousm</t>
  </si>
  <si>
    <t>Microsporum gypseum</t>
  </si>
  <si>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</si>
  <si>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N3 หรือ Azido group จากโครงสร้างของ AZT มีผลทำให้เกิดสิ่งใด</t>
  </si>
  <si>
    <t>เพิ่มค่าครึ่งชีวิตให้ยาวขึ้น</t>
  </si>
  <si>
    <t>เพิ่มการดูดซึม</t>
  </si>
  <si>
    <t>เพิ่มการออกฤทธิ์</t>
  </si>
  <si>
    <t>มีผลต่อการตั้งสูตรตำรับ</t>
  </si>
  <si>
    <t>เพิ่มความสามารถในการจับกับโปรตีน albumin</t>
  </si>
  <si>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</si>
  <si>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หญิงอายุ 35 ปี เห็นปล้องพยาธิแบนคล้ายริบบิ้นตอนถ่าย มีประวัติชอบทานสุกๆดิบๆ มาซื้อยาถ่ายพยาธิ
ท่านจะจ่ายยาในข้อใด</t>
  </si>
  <si>
    <t>Praziquantel 5-25 mg/kg/day po once</t>
  </si>
  <si>
    <t>Niclosamide 2 g single dose</t>
  </si>
  <si>
    <t>Albendazole 400 mg single dose</t>
  </si>
  <si>
    <t>Mebendazole 500 mg single dose</t>
  </si>
  <si>
    <t>ได้ทั้งข้อ ก และ ข้อ ข</t>
  </si>
  <si>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</si>
  <si>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การกินยากลุ่ม quinolone ร่วมกับนมมีผลอย่างไร</t>
  </si>
  <si>
    <t>เพิ่มการดูดซึมเพราะนมมันจะไป ต่อเยื่อบุทางเดินอาหาร ทำให้การดูดซึมง่ายขึ้น</t>
  </si>
  <si>
    <t>ลดการดูดซึม เพราะนมมันจะไป ต่อเยื่อบุทางเดินอาหาร ทำให้การดูดซึมยากขึ้น</t>
  </si>
  <si>
    <t>เพิ่มการดูดซึม เพราะ นมมันไป chelate กับยาทำให้การละลายเพิ่มขึ้น</t>
  </si>
  <si>
    <t>ลดการดูดซึม เพราะ นมมันไป chelate กับยาทำให้การละลายลดลง</t>
  </si>
  <si>
    <t>นมไม่มีผลต่อการดูดซึม</t>
  </si>
  <si>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</si>
  <si>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</si>
  <si>
    <t>Nystatin</t>
  </si>
  <si>
    <t>Whitfield ointment</t>
  </si>
  <si>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</si>
  <si>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 ARV ตัวใดไม่ควรใช้ในหญิงตั้งครรภ์ ไตรมาสที่ 3</t>
  </si>
  <si>
    <t>Efavirenz</t>
  </si>
  <si>
    <t>Stavudine</t>
  </si>
  <si>
    <t>Nevirapine</t>
  </si>
  <si>
    <t>Lamivudine</t>
  </si>
  <si>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</si>
  <si>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หญิงอายุ 35 ปี เห็นปล้องพยาธิแบนคล้ายริบบิ้นตอนถ่าย มีประวัติชอบทานสุกๆดิบๆ มาซื้อยาถ่ายพยาธิ
ข้อใดผิดเกี่ยวกับยา Praziquantel</t>
  </si>
  <si>
    <t>ใช้รักษาการติดเชื้อพยาธิตัวกลมไม่ได้ผล</t>
  </si>
  <si>
    <t>ออกฤทธิ์เป็น cestocidal</t>
  </si>
  <si>
    <t>ฆ่าไข่พยาธิ (ovicide)</t>
  </si>
  <si>
    <t>ใช้รักษาการติดเชื้อพยาธิใบไม้ในตับได้</t>
  </si>
  <si>
    <t>ทำให้ง่วงนอน</t>
  </si>
  <si>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</si>
  <si>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 tetracycline เมื่อหมดอายุแล้วรับประทานจะทำให้เกิดอาการอะไร</t>
  </si>
  <si>
    <t>Fanconi-like syndrome</t>
  </si>
  <si>
    <t>Megaloblastic anemia</t>
  </si>
  <si>
    <t>Pyogenic granuloma</t>
  </si>
  <si>
    <t>Dress syndrome</t>
  </si>
  <si>
    <t>Stevens-Johnson syndrome</t>
  </si>
  <si>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</si>
  <si>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 Pharma Plus เล่มม่วง (เฉลยข้อ ก)</t>
  </si>
  <si>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</si>
  <si>
    <t>Tinea faciei</t>
  </si>
  <si>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</si>
  <si>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หากหญิงตั้งครรภ์รายนี้ได้รับยาตามสูตรที่แนะนำตั้งแต่เริ่มแรก เมื่อหญิงตั้งครรภ์ HIV ปวดท้องคลอดจะให้ยาอย่างไร</t>
  </si>
  <si>
    <t>AZT q 3 hrs</t>
  </si>
  <si>
    <t>NVP q 3 hrs</t>
  </si>
  <si>
    <t>AZT OD + NVP q 3 hrs</t>
  </si>
  <si>
    <t>AZT q 3 hrs + NVP OD</t>
  </si>
  <si>
    <t>AZT + NVP q 3 hrs</t>
  </si>
  <si>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</si>
  <si>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หญิงอายุ 35 ปี เห็นปล้องพยาธิแบนคล้ายริบบิ้นตอนถ่าย มีประวัติชอบทานสุกๆดิบๆ มาซื้อยาถ่ายพยาธิ
ข้อใดผิดเกี่ยวกับยา Niclosamide</t>
  </si>
  <si>
    <t>เคี้ยวยาให้ละเอียดก่อนกลืน</t>
  </si>
  <si>
    <t>กินยาระบายร่วมด้วย โดยกินหลัง Niclosamide 2 ชั่วโมง เพื่อป้องกัน Cysticercosis</t>
  </si>
  <si>
    <t>หลีกเลี่ยง alcohol ทั้งขณะกินยาหรือหลังกิน 1 วัน</t>
  </si>
  <si>
    <t>อาการข้างเคียง คือ คลื่นไส้ อาเจียน ถ่ายท้อง ไม่สบายท้อง</t>
  </si>
  <si>
    <t>Niclosamide ถูกดูดซึมในลำไส้ได้ดี</t>
  </si>
  <si>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</si>
  <si>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ยาในกลุ่ม quinolone มีกลไกการออกฤทธิ์เป็นอย่างไร</t>
  </si>
  <si>
    <t>ขัดขวางการสร้างผนังเซลล์</t>
  </si>
  <si>
    <t>ขัดขวางการสร้างผนังหุ้มเซลล์</t>
  </si>
  <si>
    <t>ขัดขวางการสร้าง folic acid</t>
  </si>
  <si>
    <t>ขัดขวางการสังเคราะห์ nucleic acid</t>
  </si>
  <si>
    <t>Meropenem 1 g IV Q8H</t>
  </si>
  <si>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</si>
  <si>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</si>
  <si>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</si>
  <si>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Acyclovir ไม่มีข้อบ่งใช้ในโรคใดต่อไปนี้</t>
  </si>
  <si>
    <t>HSV-1 และ 2</t>
  </si>
  <si>
    <t>CMV</t>
  </si>
  <si>
    <t>HPV</t>
  </si>
  <si>
    <t>HHV</t>
  </si>
  <si>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</si>
  <si>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ยาใดเป็นพิษต่อตับ</t>
  </si>
  <si>
    <t>AZT</t>
  </si>
  <si>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</si>
  <si>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</si>
  <si>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</si>
  <si>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ยา chloramphenicol มีกลไกการออกฤทธิ์เป็นอย่างไร</t>
  </si>
  <si>
    <t>ขัดขวางการสังเคราะห์ polypeptide</t>
  </si>
  <si>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</si>
  <si>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6 Pharma Plus เล่มม่วง (เฉลยข้อ ค)</t>
  </si>
  <si>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</si>
  <si>
    <t>มะแว้งต้น</t>
  </si>
  <si>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</si>
  <si>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ยาในข้อใดต่อไปนี้สามารถเข้าสู่ vitreous humor ได้ดี ทำให้มีประสิทธิภาพสูงในการรักษา cytomegalovirus retinitis</t>
  </si>
  <si>
    <t>Ganciclovir</t>
  </si>
  <si>
    <t>Valacyclovir</t>
  </si>
  <si>
    <t>Pencyclovir</t>
  </si>
  <si>
    <t>Famciclovir</t>
  </si>
  <si>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</si>
  <si>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เอนไซม์ในข้อใดต่อไปนี้ ที่มีบทบาทสำคัญในการเปลี่ยนแปลงให้ยา AZT อยู่ในรูป active form</t>
  </si>
  <si>
    <t>Reverse transcriptase</t>
  </si>
  <si>
    <t>Hydroxylase</t>
  </si>
  <si>
    <t>Phosphodiesterase</t>
  </si>
  <si>
    <t>Kinase</t>
  </si>
  <si>
    <t>DNA polymerase</t>
  </si>
  <si>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</si>
  <si>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</si>
  <si>
    <t>Niclosamide 2 q single dose</t>
  </si>
  <si>
    <t>ได้ทั้งข้อ ค และ ข้อ ง</t>
  </si>
  <si>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</si>
  <si>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ยา sulfonamides มีกลไกการออกฤทธิ์เป็นอย่างไร</t>
  </si>
  <si>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</si>
  <si>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</si>
  <si>
    <t>Valvovaginal candidiasis</t>
  </si>
  <si>
    <t>Gonorrhoea</t>
  </si>
  <si>
    <t>Non gonococcalurethritis</t>
  </si>
  <si>
    <t>Trichomoniasis</t>
  </si>
  <si>
    <t>Bacterial cystitis</t>
  </si>
  <si>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</si>
  <si>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STDs &amp; vaginitis</t>
  </si>
  <si>
    <t>สมุนไพรในข้อใดที่อาจรักษาโรคเริมและงูสวัดได้</t>
  </si>
  <si>
    <t>ยาแคปซูลสกัดใบฟ้าทะลายโจร</t>
  </si>
  <si>
    <t>ใบชุมเห็ดเทศ</t>
  </si>
  <si>
    <t>แคปซูลผงขมิ้นชัน</t>
  </si>
  <si>
    <t>ครีมสกัดจากใบพญายอ</t>
  </si>
  <si>
    <t>ตะไคร้หอม</t>
  </si>
  <si>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</si>
  <si>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</si>
  <si>
    <t>Acute HIV infection</t>
  </si>
  <si>
    <t>Asymptomatic HIV infection</t>
  </si>
  <si>
    <t>Clinical latency</t>
  </si>
  <si>
    <t>Primary HIV infection</t>
  </si>
  <si>
    <t>AIDS</t>
  </si>
  <si>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</si>
  <si>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ข้อใดไม่ใช่ผลจากการติดเชื้อพยาธิปากขอ</t>
  </si>
  <si>
    <t>แพ้ ผื่นคัน</t>
  </si>
  <si>
    <t>โลหิตจาง</t>
  </si>
  <si>
    <t>หลอดลมอักเสบ</t>
  </si>
  <si>
    <t>คันบริเวณรอบทวารหนัก</t>
  </si>
  <si>
    <t>ลำไส้อักเสบ</t>
  </si>
  <si>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</si>
  <si>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ยากลุ่ม polymyxin มีกลไกการออกฤทธิ์เป็นอย่างไร</t>
  </si>
  <si>
    <t>ทำให้เกิดรูรั่วผนังเซลล์</t>
  </si>
  <si>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</si>
  <si>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</si>
  <si>
    <t>Clotrimazole 500 mg เหน็บช่องคลอดครั้งเดียว</t>
  </si>
  <si>
    <t>Ketoconazole 200 mg รับประทานหลังอาหาร เช้าและเย็น เป็นเวลา 5 วัน</t>
  </si>
  <si>
    <t>Metronidazole 2 g รับประทานครั้งเดียว</t>
  </si>
  <si>
    <t>Doxycycline 100 mg รับประทานหลังอาหาร เช้าและเย็น เป็นเวลา 7 วัน</t>
  </si>
  <si>
    <t>Ciprofloxacin 500 mg รับประทานครั้งเดียว</t>
  </si>
  <si>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</si>
  <si>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ตำรับยาของ acyclovir ดังตารางต่อไปนี้ อยู่ในรูปแบบใด</t>
  </si>
  <si>
    <t>Lotions</t>
  </si>
  <si>
    <t>Ointments</t>
  </si>
  <si>
    <t>Creams</t>
  </si>
  <si>
    <t>Pastes</t>
  </si>
  <si>
    <t>Gels</t>
  </si>
  <si>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</si>
  <si>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</si>
  <si>
    <t>NVP, d4T, 3TC</t>
  </si>
  <si>
    <t>d4T, 3TC, indinavir/ritonavir</t>
  </si>
  <si>
    <t>AZT, 3TC, indinavir/ritonavir</t>
  </si>
  <si>
    <t>d4T, 3TC, EFV</t>
  </si>
  <si>
    <t>AZT, 3TC, NVP</t>
  </si>
  <si>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</si>
  <si>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คำแนะนำในการปฏิบัติตัวสำหรับผู้ป่วยรายนี้คือ</t>
  </si>
  <si>
    <t>อาบน้ำหลังจากตื่นนอนในตอนเช้า</t>
  </si>
  <si>
    <t>ตัดเล็บมือให้สั้น และล้างมือให้สะอาดหลังเข้าห้องน้ำ</t>
  </si>
  <si>
    <t>สวมรองเท้าทุกครั้งที่ออกจากบ้าน</t>
  </si>
  <si>
    <t>รับประทานอาหารที่สุก ดื่มน้ำสะอาด</t>
  </si>
  <si>
    <t>ซักเสื้อผ้า และผ้าปูที่นอนให้สะอาด</t>
  </si>
  <si>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</si>
  <si>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ยาที่เกิด drug interaction กับ quinolone ได้ ยกเว้นข้อใดต่อไปนี้</t>
  </si>
  <si>
    <t>Aluminum hydroxide</t>
  </si>
  <si>
    <t>Carminative mixture</t>
  </si>
  <si>
    <t>Lithium</t>
  </si>
  <si>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</si>
  <si>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9 Pharma Plus เล่มม่วง (เฉลยข้อ ง)</t>
  </si>
  <si>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</si>
  <si>
    <t>Clotrimazole เหน็บช่องคลอดทำให้เกิด super infection จาก bacteria</t>
  </si>
  <si>
    <t>Ketoconazole ชนิดรับประทานทำให้การรับรู้รสผิดปกติ</t>
  </si>
  <si>
    <t>Metronidazole ทำให้คลื่นไส้ อาเจียน</t>
  </si>
  <si>
    <t>Doxycycline ทำให้ผมร่วง</t>
  </si>
  <si>
    <t>Ciprofloxacin ทำให้ตับอักเสบ</t>
  </si>
  <si>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</si>
  <si>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ข้อใดถูกต้องเกี่ยวกับยาต้านไวรัสในด้านกฎหมาย</t>
  </si>
  <si>
    <t>ยาต้านไวรัสทุกชนิดสามารถขายได้ในร้านยาที่มีเภสัชกรประจำร้าน</t>
  </si>
  <si>
    <t>ยาต้านไวรัสทุกชนิดต้องจ่ายตามใบสั่งแพทย์เท่านั้น</t>
  </si>
  <si>
    <t>ยาต้านไวรัส acyclovir ชนิดรับประทาน เป็นยาควบคุมพิเศษ</t>
  </si>
  <si>
    <t>ยาต้านไวรัสรักษาโรคเอดส์ จัดเป็นยาอันตราย</t>
  </si>
  <si>
    <t>บุคลากรทางการแพทย์ทุกวิชาชีพสามารถจ่ายยาต้านไวรัส acyclovir ชนิดทาเฉพาะที่ได้</t>
  </si>
  <si>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</si>
  <si>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</si>
  <si>
    <t>Steven Johnson syndrome</t>
  </si>
  <si>
    <t>Toxic epidermal necrolysis</t>
  </si>
  <si>
    <t>Rash with blisters</t>
  </si>
  <si>
    <t>SGPT &gt; 5X</t>
  </si>
  <si>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</si>
  <si>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</si>
  <si>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</si>
  <si>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Trimethoprim สามารถทำให้อาการข้างเคียงตามข้อใด</t>
  </si>
  <si>
    <t>ปัสสาวะสีแดง</t>
  </si>
  <si>
    <t>Hypotension</t>
  </si>
  <si>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</si>
  <si>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</si>
  <si>
    <t>การรักษาต้องรักษาทั้งผู้ป่วยและสามี แม้ว่าสามีจะไม่มีอาการใดๆ</t>
  </si>
  <si>
    <t>จำเป็นต้องให้ยาเพื่อป้องกันการกลับเป็นซ้ำเนื่องจากผู้ป่วยยังอายุน้อย</t>
  </si>
  <si>
    <t>ห้ามดื่มนมพร้อมยา เนื่องจากนมจะทำให้ยาถูกดูดซึมได้ลดลง</t>
  </si>
  <si>
    <t>อย่ากลั้นปัสสาวะ</t>
  </si>
  <si>
    <t>ไม่ควรล้างช่องคลอดอย่างพร่ำเพรื่อ</t>
  </si>
  <si>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</si>
  <si>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</si>
  <si>
    <t>Indinavir</t>
  </si>
  <si>
    <t>Zidovudine</t>
  </si>
  <si>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</si>
  <si>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เด็กชายอายุ 2 ขวบ นอนหลับไม่สนิท ร้องกวน และคันรอบทวารหนักเวลากลางคืน มีอาการเบื่ออาหาร น้ำหนักลด
ท่านจะจ่ายยา</t>
  </si>
  <si>
    <t>Mebendazole 100 mg single dose</t>
  </si>
  <si>
    <t>ได้ทั้งข้อ 3 และ ข้อ 4</t>
  </si>
  <si>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</si>
  <si>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ยาในกลุ่มใดต่อไปนี้ออกฤทธิ์เป็น Bactericidal</t>
  </si>
  <si>
    <t>Cephalosporin</t>
  </si>
  <si>
    <t>Trimethoprim</t>
  </si>
  <si>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</si>
  <si>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</si>
  <si>
    <t>Tinea caporis</t>
  </si>
  <si>
    <t>Tinea curis</t>
  </si>
  <si>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</si>
  <si>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การรักษาใดเหมาะสมในผู้ป่วยรายนี้</t>
  </si>
  <si>
    <t>2HRZE/4HR และทานยาต้าน HIV ตามปกติ</t>
  </si>
  <si>
    <t>2HRZE/4HR และเพิ่ม ritonavir เป็น 800 mg q 12 hr</t>
  </si>
  <si>
    <t>2HRZE/4HR และเปลี่ยน ritonavir เป็น efavarenz</t>
  </si>
  <si>
    <t>2HES/10HE เพื่อป้องกัน rifampicin เกิด drug interaction กับ ritonavir</t>
  </si>
  <si>
    <t>2HES/10HE เพื่อป้องกัน rifampicin เกิด drug interaction กับ fluconazole</t>
  </si>
  <si>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</si>
  <si>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ข้อใดผิดเกี่ยวกับการรักษาการติดพยาธิเส้นด้าย</t>
  </si>
  <si>
    <t>ควรให้การรักษาซ้ำในสัปดาห์ที่ 2</t>
  </si>
  <si>
    <t>ควรรักษาสมาชิกในครอบครัวทั้งหมดพร้อมกัน</t>
  </si>
  <si>
    <t>ควรรักษาสมาชิกในครอบครัวที่เป็นเด็กพร้อมกัน</t>
  </si>
  <si>
    <t>หากมีอาการคันมากบริเวณรอบทวารหนักเวลากลางคืน ควรปรึกษาแพทย์หรือเภสัชกรเพื่อรับยาครีมหรือขี้ผึ้งทาแก้คัน</t>
  </si>
  <si>
    <t>รับประทานยาหลังอาหารทันที</t>
  </si>
  <si>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</si>
  <si>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ยาในข้อใดออกฤทธิ์เป็น Concentration-dependent bactericidal activity</t>
  </si>
  <si>
    <t>Cefazolin</t>
  </si>
  <si>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</si>
  <si>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12 Pharma Plus เล่มม่วง (เฉลยข้อ ค)</t>
  </si>
  <si>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</si>
  <si>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</si>
  <si>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หลังจากนี้ไม่ควรดำเนินการรักษาโรคของนางฟ้าได้อย่างไร</t>
  </si>
  <si>
    <t>ดำเนินการรักษา TB ต่อไปอีก 6-9 สัปดาห์</t>
  </si>
  <si>
    <t>ให้ pyridoxine 10 mg/day ควบคู่กับการรักษา TB</t>
  </si>
  <si>
    <t>ให้การรักษาวัณโรคแบบ DOTS</t>
  </si>
  <si>
    <t>รับประทานยาติดต่อกันอย่างสม่ำเสมอ</t>
  </si>
  <si>
    <t>ตรวจ serology B hepatitis</t>
  </si>
  <si>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</si>
  <si>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คำแนะนำใดมีประโยชน์น้อยที่สุดในการป้องกันการติดพยาธิดังกล่าว</t>
  </si>
  <si>
    <t>ควรรับประทานอาหารที่ปรุงสุก สะอาด</t>
  </si>
  <si>
    <t>ควรสวมรองเท้าทุกครั้งที่ออกจากบ้าน</t>
  </si>
  <si>
    <t>ซักเสื้อผ้า ผ้าห่ม ผ้าปูที่นอนเสมอ</t>
  </si>
  <si>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</si>
  <si>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Vancomycin ผลิตมาจากเชื้ออะไร</t>
  </si>
  <si>
    <t>Streptomyces orchidaceus</t>
  </si>
  <si>
    <t>Streptomyces fradiae</t>
  </si>
  <si>
    <t>Bacillus subtilis</t>
  </si>
  <si>
    <t>Streptococcus orientalis</t>
  </si>
  <si>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</si>
  <si>
    <t>ข้อ 13 Pharma Plus เล่มม่วง (เฉลยข้อ ข ค)</t>
  </si>
  <si>
    <t>ยับยั้งการสังเคราะห์ ergosterol</t>
  </si>
  <si>
    <t>ยับยั้งการสร้าง mitosis ของ dermatophytes</t>
  </si>
  <si>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</si>
  <si>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</si>
  <si>
    <t>2HR/16HE: INH 300 mg, Ethambutol 800 mg, Streptomycin 1 g</t>
  </si>
  <si>
    <t>2HRE/7HR: INH 300 mg, Rifampicin 450 mg, Ethambutol 800 mg</t>
  </si>
  <si>
    <t>2HR/16HE: INH 300 mg, Ethambutol 800 mg, Streptomycin 0.75 g</t>
  </si>
  <si>
    <t>2HRE/7HR: INH 300 mg, Rifampicin 600 mg, Ethambutol 1200 mg</t>
  </si>
  <si>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</si>
  <si>
    <t>ยาใดมีผลข้างเคียงทำให้เกิดผิวหนังแพ้ต่อแสงผิวไหม้รู้สึกชาบริเวณที่ถูกแสง</t>
  </si>
  <si>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</si>
  <si>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ถ้าต้องการใช้สมุนไพรในการรักษาอาการดังกล่าว สมุนไพรที่เลือกใช้</t>
  </si>
  <si>
    <t>ใบบัวบก</t>
  </si>
  <si>
    <t>เปล้าน้อย</t>
  </si>
  <si>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</si>
  <si>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จากข้อ 13 นางฟ้าใสตานยาได้ 1 สัปดาห์ แล้วเกิดผิวหนังลอก (exfoliative dermatitis) ท่านจะทำอย่างไร</t>
  </si>
  <si>
    <t>หยุด rifampicin แล้ว re-challenge ด้วยขนาดต่ำๆ</t>
  </si>
  <si>
    <t>หยุด INH แล้ว re-challenge ด้วยขนาดต่ำๆ</t>
  </si>
  <si>
    <t>เปลี่ยน rifampicin เป็น ofloxacin 400 mg bid</t>
  </si>
  <si>
    <t>หยุด ethambutol แล้ว re-challenge ด้วยขนาดต่ำๆ</t>
  </si>
  <si>
    <t>ให้ยา CPM ร่วมกับยาเดิม</t>
  </si>
  <si>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</si>
  <si>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Gray baby syndrome มักเกิดในเด็กที่ได้รับยาอะไรในขนาดสูง</t>
  </si>
  <si>
    <t>Cephalexin</t>
  </si>
  <si>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</si>
  <si>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ที่ฉลากยา griseofulvin มีคำว่า micronized form ข้อดีของ micronized form คือข้อใด</t>
  </si>
  <si>
    <t>เพื่อเพิ่มการกระจายตัวไปยังตำแหน่งที่ออกฤทธิ์</t>
  </si>
  <si>
    <t>เพื่อลด first pass metabolism</t>
  </si>
  <si>
    <t>ให้อยู่ในร่างกายานขึ้น</t>
  </si>
  <si>
    <t>เพื่อป้องกันการดื้อยาของเชื้อรา</t>
  </si>
  <si>
    <t>เพื่อเพิ่มการดูดซึมยาจากทางเดินอาหาร</t>
  </si>
  <si>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</si>
  <si>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</si>
  <si>
    <t>กลไกการออกฤทธิ์ คือ DNA polymerase inhibitor อาการข้างเคียงคือ neuropathy</t>
  </si>
  <si>
    <t>กลไกการออกฤทธิ์ คือ protein synthesis อาการข้างเคียงคือ GI disturbance</t>
  </si>
  <si>
    <t>กลไกการออกฤทธิ์ คือ cell wall อาการข้างเคียงคือ SJS</t>
  </si>
  <si>
    <t>กลไกการออกฤทธิ์ คือ DNA synthesis อาการข้างเคียงคือ anemia</t>
  </si>
  <si>
    <t>กลไกการออกฤทธิ์ คือ ergosterol อาการข้างเคียงคือ gynecomastia</t>
  </si>
  <si>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</si>
  <si>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คุณสมบัติของยาตามโครงสร้างนี้ ข้อใดผิด</t>
  </si>
  <si>
    <t>ละลายน้ำได้น้อย</t>
  </si>
  <si>
    <t>มีคุณสมบัติในการฆ่าเชื้อเป็นแบบ concentration-dependent</t>
  </si>
  <si>
    <t>คุณสมบัติเป็น weak base</t>
  </si>
  <si>
    <t>เกิด Gl cramping</t>
  </si>
  <si>
    <t>ยาเข้าสู่สมองได้น้อยมาก</t>
  </si>
  <si>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</si>
  <si>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16 Pharma Plus เล่มม่วง (เฉลยข้อ ข จ)</t>
  </si>
  <si>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</si>
  <si>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</si>
  <si>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ยาในข้อต่อไปนี้ เมื่อให้ร่วมกับยาอื่น อาทิ ritonavir มีผลทำให้ระดับยา ritonavir ในพลาสมาลดลง</t>
  </si>
  <si>
    <t>Co- trimoxazole - CYP3A inducers</t>
  </si>
  <si>
    <t>Fluconazole - CYP3A inhibitors</t>
  </si>
  <si>
    <t>Isoniazid - CYP 2C inducers</t>
  </si>
  <si>
    <t>Pyrazinamide - CYP 2C inhibitors</t>
  </si>
  <si>
    <t>Rifampicin - CYP3A inducers</t>
  </si>
  <si>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</si>
  <si>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ข้อใดไม่ใช่เชื้อกลุ่ม anaerobic</t>
  </si>
  <si>
    <t>Peptococcus</t>
  </si>
  <si>
    <t>Peptostreptococcus</t>
  </si>
  <si>
    <t>Clostridium</t>
  </si>
  <si>
    <t>Chlamydia</t>
  </si>
  <si>
    <t>Escherichia</t>
  </si>
  <si>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</si>
  <si>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จากโครงสร้างยา Itraconazole สารนี้มีคุณสมบัติเป็นอย่างไร</t>
  </si>
  <si>
    <t>เป็นกรดอ่อน</t>
  </si>
  <si>
    <t>เป็นเบสอ่อน</t>
  </si>
  <si>
    <t>ละลายได้ดีในน้ำ</t>
  </si>
  <si>
    <t>ละลายได้ดีใน methanol</t>
  </si>
  <si>
    <t>ละลายได้ดีในสารละลายเบสแก่</t>
  </si>
  <si>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</si>
  <si>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 rifampicin ใช้ป้องกันหรือรักษาโรคใดได้ นอกจากวัณโรค</t>
  </si>
  <si>
    <t>Meningococcal infection</t>
  </si>
  <si>
    <t>HACEK endocarditis</t>
  </si>
  <si>
    <t>Leptospirosis</t>
  </si>
  <si>
    <t>Severe malaria</t>
  </si>
  <si>
    <t>Typhus</t>
  </si>
  <si>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</si>
  <si>
    <t>ยากลุ่มใดที่ขัดขวางการทำงานของไรโบโซมชนิด 50S</t>
  </si>
  <si>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</si>
  <si>
    <t>ข้อ 18 Pharma Plus เล่มม่วง (เฉลยข้อ จ)</t>
  </si>
  <si>
    <t>Itraconazole เป็น high hydrophilic at pH 8.1 Log P = 5.96 (octanol/water) pKa= 3.7 การเพิ่ม dissolution ข้อใดผิด</t>
  </si>
  <si>
    <t>ใช้ crystalline Itraconazole</t>
  </si>
  <si>
    <t>ใช้ micronized Itraconazole</t>
  </si>
  <si>
    <t>SLS ในตำรับ</t>
  </si>
  <si>
    <t>เตรียมแบบ Solid dispersion</t>
  </si>
  <si>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</si>
  <si>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</si>
  <si>
    <t>Isoniazid, Rifampicin, Pyrazinamide</t>
  </si>
  <si>
    <t>Rifampicin, Pyrazinamide, Streptomycin</t>
  </si>
  <si>
    <t>Isoniazid, Pyrazinamide, Ethambutol</t>
  </si>
  <si>
    <t>Rifampicin, Ethambutol, Streptomycin</t>
  </si>
  <si>
    <t>Isoniazid, Streptomycin, Ethambutol</t>
  </si>
  <si>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</si>
  <si>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ยาใดยับยั้งการสังเคราะห์โปรตีนโดยการขัดขวางการทำงานของไรโบโซมชนิด 30S และออกฤทธิ์แบบ Bactericidal</t>
  </si>
  <si>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</si>
  <si>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19 Pharma Plus เล่มม่วง (เฉลยข้อ ง จ)</t>
  </si>
  <si>
    <t>ข้อใดถูกต้องเกี่ยวกับการรักษาวัณโรค</t>
  </si>
  <si>
    <t>การตรวจเสมหะเป็นวิธีที่ง่าย ประหยัด แต่ไม่เฉพาะเจาะจง</t>
  </si>
  <si>
    <t>ผู้ป่วยเบาหวานเป็นสาเหตุทำให้เกิดความชุกของวัณโรคมากขึ้น</t>
  </si>
  <si>
    <t>ผู้ที่ใช้ยากดภูมิต่างๆจะมีสิทธิ์ติดเชื้อวัณโรคได้ง่าย</t>
  </si>
  <si>
    <t>หลักการรักษาวัณโรคป้องกันไม่ให้ติดต่อไปสู่อื่น+ลองทดสอบประสิทธิภาพยาโดยใช้เวลาสั้น</t>
  </si>
  <si>
    <t>การรักษาวัณโรคคือใช้ยาขนาดสูงสุด+ใช้เวลานานๆ</t>
  </si>
  <si>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</si>
  <si>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Cefepime เป็นยากลุ่ม cephalosporin gen ใด</t>
  </si>
  <si>
    <t>Dolutegravir 50 mg OD</t>
  </si>
  <si>
    <t>Vancomycin 1 g IV Q12H</t>
  </si>
  <si>
    <t>Cefazolin 1 g IV Q8H</t>
  </si>
  <si>
    <t>Amoxicillin/Clavulanate 1 g BID</t>
  </si>
  <si>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</si>
  <si>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ยาในข้อใดจัดเป็น second line ในการรักษา TB</t>
  </si>
  <si>
    <t>Streptomycin</t>
  </si>
  <si>
    <t>Augmentin</t>
  </si>
  <si>
    <t>Capreomycin</t>
  </si>
  <si>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</si>
  <si>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ข้อใดถูกต้องเกี่ยวกับยาต้านไวรัสเอดส์</t>
  </si>
  <si>
    <t>NNRTIs สามารถออกฤทธิ์ได้โดยต้องผ่านกระบวนการเปลี่ยนแปลงในร่างกายก่อน</t>
  </si>
  <si>
    <t>NRTIs นอกจากรักษา HIV infection ยังสามารถรักษา Hep B ได้ด้วย</t>
  </si>
  <si>
    <t>NRTIs จะต้องถูกเติมหมู่ฟอสเฟตก่อนถึงจะเข้าไปยับยั้ง reverse transcriptase ได้</t>
  </si>
  <si>
    <t>Abacavir และ entecavir จัดอยู่ในกลุ่ม protease inhibitor (PIs)</t>
  </si>
  <si>
    <t>PIs ทุกชนิดใช้เพื่อรักษาการติดเชื้อไวรัสเอดส์เพียงอย่างเดียว</t>
  </si>
  <si>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</si>
  <si>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21 Pharma Plus เล่มม่วง (เฉลยข้อ ค)</t>
  </si>
  <si>
    <t>ข้อใดผิดเกี่ยวกับยาในกลุ่ม NNRTIs</t>
  </si>
  <si>
    <t>ยาในกลุ่มนี้ไม่ต้องเติมหมู่ฟอสเฟตจากร่างกายในการออกฤทธิ์</t>
  </si>
  <si>
    <t>Nevirapine ห้ามให้ในผู้ป่วยหญิง HIV ที่มี CD4+ สูงกว่า 250 cell/mm3</t>
  </si>
  <si>
    <t>Efavirenz ควรรับประทานยาพร้อมอาหารที่มีไขมันสูง</t>
  </si>
  <si>
    <t>อาการไม่พึงประสงค์ที่สำคัญของ nevirapine คือ SJS, Hepatitis</t>
  </si>
  <si>
    <t>NNRTIs ที่ได้รับการรับรองจาก FDA ล่าสุด คือ rilpivirine</t>
  </si>
  <si>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</si>
  <si>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22 Pharma Plus เล่มม่วง (เฉลยข้อ ง)</t>
  </si>
  <si>
    <t>ข้อใดผิดเกี่ยวกับยาในกลุ่ม protease inhibitor</t>
  </si>
  <si>
    <t>PIs ห้ามให้ร่วมกับ ergotamine เนื่องจากจะทำให้เกิดภาวะ ergotism</t>
  </si>
  <si>
    <t>PIs ทุกตัวมีผลทำให้การกระจายตัวของไขมันผิดปกติแต่ไม่ได้ทำให้ระดับไขมันในเลือดผิดปกติ</t>
  </si>
  <si>
    <t>Ritonavir ช่วยทำให้ระดับของ lopinavir ในเลือดสูงขึ้น</t>
  </si>
  <si>
    <t>Atazanavir ทำให้ผู้ป่วยมีความร่วมมือในการรับประทานยาจากการรับประทานเพียงวันละครั้ง</t>
  </si>
  <si>
    <t>Indinavir ทำให้เกิด nephrolithiasis ต้องดื่มน้ำอย่างเพียงพอ</t>
  </si>
  <si>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</si>
  <si>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23 Pharma Plus เล่มม่วง (เฉลยข้อ ก)</t>
  </si>
  <si>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</si>
  <si>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</si>
  <si>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</si>
  <si>
    <t>Abacavir</t>
  </si>
  <si>
    <t>Ritonavir</t>
  </si>
  <si>
    <t>Diravirdine</t>
  </si>
  <si>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</si>
  <si>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เมื่อพิจารณาโครงสร้างของ ritonavir ท่านคิดว่าข้อใดไม่ถูกต้อง</t>
  </si>
  <si>
    <t>เมื่อให้ยาร่วมกับอาหารจะดูดซึมได้มากขึ้น</t>
  </si>
  <si>
    <t>ยามีการละลายน้ำต่ำ จึงดูดซึมไม่ดี</t>
  </si>
  <si>
    <t>สลายตัวได้ง่ายในความร้อน</t>
  </si>
  <si>
    <t>มีลักษณะเป็น peptide-like</t>
  </si>
  <si>
    <t>ยามี ค่า log P 5.22 แสดงว่าละลายน้ำได้ไม่ดี</t>
  </si>
  <si>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</si>
  <si>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สมุนไพรใดมีฤทธิ์ยับยั้ง HIV ได้ในหลอดทดลอง และเริ่มมีการใช้ในผู้ป่วย HIV บ้างแล้ว</t>
  </si>
  <si>
    <t>ปลาไหลเผือก</t>
  </si>
  <si>
    <t>หญ้าปักกิ่ง</t>
  </si>
  <si>
    <t>ดอกดาวเรือง</t>
  </si>
  <si>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</si>
  <si>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ยาหลักที่ใช้ในการรักษา PCP คือ</t>
  </si>
  <si>
    <t>Ceftriaxone</t>
  </si>
  <si>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</si>
  <si>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28 Pharma Plus เล่มม่วง (เฉลยข้อ ก)</t>
  </si>
  <si>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</si>
  <si>
    <t>กลไกการออกฤทธิ์คือ DNA polymerase inhibitor อาการข้างเคียงคือ neuropathy</t>
  </si>
  <si>
    <t>กลไกการออกฤทธิ์คือ Protein synthesis อาการข้างเคียงคือ GI disturbance</t>
  </si>
  <si>
    <t>กลไกการออกฤทธิ์คือ cell wall อาการข้างเคียงคือ SJS</t>
  </si>
  <si>
    <t>กลไกการออกฤทธิ์คือ DNA synthesis อาการข้างเคียงคือ anemia</t>
  </si>
  <si>
    <t>กลไกการออกฤทธิ์คือ ergosterol อาการข้างเคียงคือ gynecomastia</t>
  </si>
  <si>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</si>
  <si>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29 Pharma Plus เล่มม่วง (เฉลยข้อ ก)</t>
  </si>
  <si>
    <t>คำแนะนำเกี่ยวกับเรื่องการใช้ยาเพื่อป้องกัน PCP อย่างไรจึงจะเหมาะสม</t>
  </si>
  <si>
    <t>ห้ามรับประทานร่วมกับนม ยาลดกรด</t>
  </si>
  <si>
    <t>รับประทานยาอย่างสม่ำเสมอและปัสสาวะอาจมีสีแดงได้</t>
  </si>
  <si>
    <t>รักษาสุขภาพให้แข็งแรงและทำจิตใจให้สดชื่นแจ่มใส</t>
  </si>
  <si>
    <t>ให้กินยาหลังอาหารทันที เนื่องจากมีผลระคายเคืองกระเพาะอาหาร</t>
  </si>
  <si>
    <t>อาจทำให้เกิดผื่นชนิดรุนแรง ควรสังเกตอาการและแจ้งให้แพทย์ทราบทันที</t>
  </si>
  <si>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</si>
  <si>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30 Pharma Plus เล่มม่วง (เฉลยข้อ ง)</t>
  </si>
  <si>
    <t>ผู้ป่วยรายนี้หลังจากกลับบ้านควรได้รับยาป้องกัน PCP แบบ secondary prophylaxis อย่างไร</t>
  </si>
  <si>
    <t>Cotrimoxazole (80 TMP/400 SMZ) 1/2 เม็ด วันละ 1 ครั้ง</t>
  </si>
  <si>
    <t>Cotrimoxazole (80 TMP/400 SMZ) 2 เม็ด วันละ 1 ครั้ง</t>
  </si>
  <si>
    <t>Cotrimoxazole (80 TMP/400 SMZ) 2 เม็ด สัปดาห์ละ 3 ครั้ง</t>
  </si>
  <si>
    <t>Cotrimozazole vaginal tablets ครึ่งเม็ด วันละ 3 ครั้ง</t>
  </si>
  <si>
    <t>Fluconazole 2 เม็ด ทุกสัปดาห์</t>
  </si>
  <si>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</si>
  <si>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31 Pharma Plus เล่มม่วง (เฉลยข้อ ข)</t>
  </si>
  <si>
    <t>ยาต้านเชื้อราที่สามารถรักษา oral candidiasis ยกเว้นข้อใด</t>
  </si>
  <si>
    <t>Cotrimazole lozenges</t>
  </si>
  <si>
    <t>Nystatin suspensions</t>
  </si>
  <si>
    <t>Miconazole oral gels</t>
  </si>
  <si>
    <t>Ketoconazole tablets</t>
  </si>
  <si>
    <t>Fluconazole tablets</t>
  </si>
  <si>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</si>
  <si>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32 Pharma Plus เล่มม่วง (เฉลยข้อ )</t>
  </si>
  <si>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</si>
  <si>
    <t>พบเชื้อมากในมูลนกพิราบ</t>
  </si>
  <si>
    <t>พบในดินและอุจจาระค้างคาว</t>
  </si>
  <si>
    <t>เชื้อเป็น normal flora ในระบบทางเดินอาหาร</t>
  </si>
  <si>
    <t>อยู่ตามธรรมชาติ เชื้อเข้าสู่ร่างกายทางบาดแผลที่ผิวหนัง</t>
  </si>
  <si>
    <t>เป็น opportunistic fungi</t>
  </si>
  <si>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</si>
  <si>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ผู้ป่วยรายนี้จำเป็นต้องได้รับยาเพื่อป้องกัน cryptococcosis หรือไม่ (ถ้าควรได้รับ ผู้ป่วยจะต้องได้รับยาใด)</t>
  </si>
  <si>
    <t>จำเป็นต้องได้รับยาเพื่อป้องกัน cryptococcosis ยาที่ควรได้คือ fluconazole 400 mg สัปดาห์ละครั้ง</t>
  </si>
  <si>
    <t>จำเป็นต้องได้รับยาเพื่อป้องกัน cryptococcosis ยาที่ควรได้คือ amphotericin B 0.6-0.7 mg/kg/day หยดเข้าหลอดเลือดดำเป็นเวลา 7-14 วัน</t>
  </si>
  <si>
    <t>จำเป็นต้องได้รับยาเพื่อป้องกัน cryptococcosis ยาที่ควรได้คือ TMP-SMX SS tablet 2 เม็ด กินวันละครั้ง</t>
  </si>
  <si>
    <t>จำเป็นต้องได้รับยาเพื่อป้องกัน cryptococcosis ยาที่ควรได้คือ amphotericin B 1.0 mg/kg/day หยดเข้าหลอดเลือดดำเป็นเวลา 7-14 วัน</t>
  </si>
  <si>
    <t>ไม่จำเป็นต้องได้รับยาเพื่อป้องกัน cryptococcosis อีก</t>
  </si>
  <si>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</si>
  <si>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34 Pharma Plus เล่มม่วง (เฉลยข้อ จ)</t>
  </si>
  <si>
    <t>ผู้ป่วยรายนี้จะพิจารณาหยุดยาป้องกัน histoplasmosis เมื่อใด</t>
  </si>
  <si>
    <t>CD4 ≥ 50 cells/mm³</t>
  </si>
  <si>
    <t>CD4 ≥ 100 cells/mm³</t>
  </si>
  <si>
    <t>CD4 ≥ 150 cells/mm³</t>
  </si>
  <si>
    <t>CD4 ≥ 200 cells/mm³</t>
  </si>
  <si>
    <t>CD4 ≥ 250 cells/mm³</t>
  </si>
  <si>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</si>
  <si>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</si>
  <si>
    <t>Cryptococcus sp.</t>
  </si>
  <si>
    <t>Aspergillus sp.</t>
  </si>
  <si>
    <t>Candida sp.</t>
  </si>
  <si>
    <t>Histoplasma sp.</t>
  </si>
  <si>
    <t>Blastomyces sp.</t>
  </si>
  <si>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</si>
  <si>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36 Pharma Plus เล่มม่วง (เฉลยข้อ ก)</t>
  </si>
  <si>
    <t>การรักษาที่เหมาะสมสำหรับผู้ป่วยรายนี้คือข้อใด</t>
  </si>
  <si>
    <t>Induction phase: Amphotericin B 0.6-0.7 mg/kg/day หยดเข้าหลอดเลือดดำเป็นเวลา 7-14 วัน, Consolidation phase: Itraconazole 200 mg กินวันละ 2 ครั้ง เป็นเวลา 10-12 สัปดาห์</t>
  </si>
  <si>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</si>
  <si>
    <t>Induction phase: Amphotericin B 0.3-0.5 mg/kg/day หยดเข้าหลอดเลือดดำ เป็นเวลา 7-14 วัน, Consolidation phase: Fluconazole 200 mg กินวันละครั้ง เป็นเวลา 14-21 วัน</t>
  </si>
  <si>
    <t>Pyrimethamine 200 mg กิน 1 ครั้ง ตามด้วย 75 mg/day กินวันละครั้ง ร่วมกับ Sulfadiazine 1,500 mg กินวันละ 4 ครั้ง ร่วมกับ folinic acid 10-25 mg/day กินวันละครั้ง อย่างน้อย 6 สัปดาห์</t>
  </si>
  <si>
    <t>Fluconazole 400-800 mg/day ร่วมกับ intrathecal Amphotericin B 1-1.5 mg/day</t>
  </si>
  <si>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</si>
  <si>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</si>
  <si>
    <t>วัณโรค</t>
  </si>
  <si>
    <t>ปอดบวม</t>
  </si>
  <si>
    <t>หนองใน</t>
  </si>
  <si>
    <t>เชื้อราแคนดิดา</t>
  </si>
  <si>
    <t>เอดส์</t>
  </si>
  <si>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</si>
  <si>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38 Pharma Plus เล่มม่วง (เฉลยข้อ )</t>
  </si>
  <si>
    <t>ยา GPOvir ขององค์การเภสัชกรรมประกอบด้วย</t>
  </si>
  <si>
    <t>Zidovudine + Didanosine + Ritonavir</t>
  </si>
  <si>
    <t>Stavudine + Lamivudine + Saquinavir</t>
  </si>
  <si>
    <t>Stavudine + Lamivudine + Nevirapine</t>
  </si>
  <si>
    <t>Stavudine + Lamivudine + Tenofovir</t>
  </si>
  <si>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</si>
  <si>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</si>
  <si>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</si>
  <si>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40 Pharma Plus เล่มม่วง (เฉลยข้อ ข)</t>
  </si>
  <si>
    <t>ฝ้าขาวที่เกิดที่กระพุ้งแก้มในรูปแบบยาน้ำกลั้วปาก สามารถรักษาได้โดยยาชนิดใด</t>
  </si>
  <si>
    <t>Cotrimazole</t>
  </si>
  <si>
    <t>Claritromycin</t>
  </si>
  <si>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</si>
  <si>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41 Pharma Plus เล่มม่วง (เฉลยข้อ ข ง)</t>
  </si>
  <si>
    <t>จงบอกกลไกออกฤทธิ์ของ zidovudine</t>
  </si>
  <si>
    <t>Inhibit protein synthesis</t>
  </si>
  <si>
    <t>Inhibit HIV protease</t>
  </si>
  <si>
    <t>Inhibit HIV reverse transcriptase</t>
  </si>
  <si>
    <t>Inhibit thymidine kinase</t>
  </si>
  <si>
    <t>Inhibit cell wall synthesis</t>
  </si>
  <si>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</si>
  <si>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42 Pharma Plus เล่มม่วง (เฉลยข้อ ค)</t>
  </si>
  <si>
    <t>พิจารณาโครงสร้างของ Ritonavir ท่านคิดว่าข้อใดไม่ถูกต้อง</t>
  </si>
  <si>
    <t>เมื่อให้ยาร่วมกับอาหารยาจะออกฤทธิ์ช้าลง</t>
  </si>
  <si>
    <t>ยามีการละลายน้ำต่ำ จึงดูดซึมได้ไม่ดี</t>
  </si>
  <si>
    <t>เนื่องจากเป็น peptide-like จึงสลายตัวได้ง่ายในกรดในกระเพาะอาหาร</t>
  </si>
  <si>
    <t>ไม่มี basic functionality จึงไม่ ionize ในทางเดินอาหาร</t>
  </si>
  <si>
    <t>ยามี polar functionality จึงละลายน้ำได้ดี</t>
  </si>
  <si>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</si>
  <si>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43 Pharma Plus เล่มม่วง (เฉลยข้อ ก ง จ)</t>
  </si>
  <si>
    <t>เมื่อคนใช้หักเม็ดยา rifampin ซึ่งเป็น white sugar-coated tablet พบว่าในยาเม็ดเป็นสีส้มแดงทั้งเม็ด ท่านจะอธิบายให้คนใช้เข้าใจอย่างไร</t>
  </si>
  <si>
    <t>ยาเสียเนื่องจาก air oxidation</t>
  </si>
  <si>
    <t>ยาเสียเนื่องจาก hydrolysis ของส่วน hydrozone</t>
  </si>
  <si>
    <t>ยาไม่เสีย เป็นธรรมชาติของยาเม็ดชนิดนี้</t>
  </si>
  <si>
    <t>ยาเสียเนื่องจากความชื้นในอากาศ</t>
  </si>
  <si>
    <t>ยาไม่เสีย สีที่เกิดขึ้นนั้นเกิดกับการแต่งสี</t>
  </si>
  <si>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</si>
  <si>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</si>
  <si>
    <t>ขาด Vitamin D เนื่องจากได้รับแสงแดดไม่พอ</t>
  </si>
  <si>
    <t>ขาด Vitamin B6 เนื่องจากได้รับการรักษาด้วยยา isoniazid</t>
  </si>
  <si>
    <t>ขาด folate เนื่องจากสูญเสียปัสสาวะเพิ่มขึ้น</t>
  </si>
  <si>
    <t>ขาด Vitamin B12 เนื่องจากการดูดซึมผิดปกติ</t>
  </si>
  <si>
    <t>ขาด Zn เนื่องจากยาท าให้เบื่ออาหาร จึงได้รับ Zn จากอาหารน้อยลง</t>
  </si>
  <si>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</si>
  <si>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Mock PLE-CC 1 ข้อ 104</t>
  </si>
  <si>
    <t>อาการของผู้ป่วยเข้าได้กับโรคใด</t>
  </si>
  <si>
    <t>photosensitivity</t>
  </si>
  <si>
    <t>eczema</t>
  </si>
  <si>
    <t>impetigo</t>
  </si>
  <si>
    <t>canker sore</t>
  </si>
  <si>
    <t>Cold sore</t>
  </si>
  <si>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</si>
  <si>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Mock PLE-CC 1 ข้อ 119</t>
  </si>
  <si>
    <t>ข้อใดไม่ใช่ปัจจัยกระตุ้นที่สำคัญที่ทำให้โรคนี้กำเริบ</t>
  </si>
  <si>
    <t>การนอนหลับไม่เพียงพอ</t>
  </si>
  <si>
    <t>เจอแสงแดดจัด</t>
  </si>
  <si>
    <t>การได้รับ amoxicillin</t>
  </si>
  <si>
    <t>ติดเชื้อไวรัสเช่นไข้หวัด</t>
  </si>
  <si>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</si>
  <si>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Mock PLE-CC 1 ข้อ 123</t>
  </si>
  <si>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</si>
  <si>
    <t>Omeprazole + Metronidazole + Bismuth subsalicylate + tetracycline</t>
  </si>
  <si>
    <t>Omeprazole + Levofloxacin + Amoxicillin</t>
  </si>
  <si>
    <t>Lansoprazole + Clarithromycin + Amoxicillin</t>
  </si>
  <si>
    <t>Lansoprazole + Amoxicillin + Metronidazole + Bismuth subsalicylate</t>
  </si>
  <si>
    <t>Lansoprazole + Clarithromycin + Bismuth subsalicylate + Amoxicillin (ไม่มั่นใจ choice ข้อนี้)</t>
  </si>
  <si>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</si>
  <si>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PLE_CC1_2567_Key ข้อ 9</t>
  </si>
  <si>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</si>
  <si>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</si>
  <si>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PLE_CC1_2567_Key ข้อ 37</t>
  </si>
  <si>
    <t>Case HIV CD4 &lt; 150 ต้องได้ยาป้องกัน OI (Opportunistic Infection) อะไรบ้าง " A</t>
  </si>
  <si>
    <t>Co-trimoxazole</t>
  </si>
  <si>
    <t>Co-trimoxazole + Fluconazole</t>
  </si>
  <si>
    <t>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</si>
  <si>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 สูตรผสมสามขนานมีทั้งยาต้านเชื้อราและ MAC prophylaxis ซึ่ง MAC prophylaxis แนะนำเฉพาะเมื่อ CD4 ต่ำกว่า 50 cells/mm³ เท่านั้น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</si>
  <si>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PLE_CC1_2567_Key ข้อ 75</t>
  </si>
  <si>
    <t>โครงสร้างหมายเลขใดของ triamcinolone acetonide มีบทบาทสำคัญในการเพิ่ม lipophilicity PLE-PC1 Preparation 2567</t>
  </si>
  <si>
    <t>Ciprofloxacin 500 mg BID</t>
  </si>
  <si>
    <t>Azithromycin 500 mg OD</t>
  </si>
  <si>
    <t>Doxycycline 100 mg BID</t>
  </si>
  <si>
    <t>Cotrimoxazole 160/800 mg BID</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</si>
  <si>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</si>
  <si>
    <t>PLE_CC1_2567_Key ข้อ 95</t>
  </si>
  <si>
    <t>อาการใดที่ใช@แยก acute bacterial rhinosinusitis ออกจากการติดเชื้อในระบบทางเดินหายใจส6วนบน</t>
  </si>
  <si>
    <t>Maxillary pain</t>
  </si>
  <si>
    <t>Sneezing</t>
  </si>
  <si>
    <t>Purulent conjunctivitis</t>
  </si>
  <si>
    <t>ไอ</t>
  </si>
  <si>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</si>
  <si>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</si>
  <si>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PLE_CC1_2567_Key ข้อ 104</t>
  </si>
  <si>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</si>
  <si>
    <t>Tenofovir/Emtricitabine 300/200 mg OD</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</si>
  <si>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</si>
  <si>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จากตำรับน้ำตาเทียม หากไม่มี Hydroxypropyl-guar สามารถใช้สารในข้อใดทำหน้าที่แทนได้ สารเพิ่มความหนืด ติดเชื้อ bacteria</t>
  </si>
  <si>
    <t>Polysorbate 80</t>
  </si>
  <si>
    <t>Sorbitol</t>
  </si>
  <si>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</si>
  <si>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PVA (Polyvinyl alcohol) เป็น water-soluble synthetic polymer ที่นิยมใช้เป็นสารเพิ่มความหนืดและหล่อลื่นในน้ำตาเทียมได้อย่างมีประสิทธิภาพ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</si>
  <si>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PLE_CC1_2567_Set1_Key ข้อ 32</t>
  </si>
  <si>
    <t>Docusate Sodium - lubricant</t>
  </si>
  <si>
    <t>glycerin - Osmotic</t>
  </si>
  <si>
    <t>psyllium husk - stimulant</t>
  </si>
  <si>
    <t>bisacodyl - bulk forming</t>
  </si>
  <si>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(จำ choice ไม่ได้): ตัวเลือกนี้เป็นข้อความที่ไม่สมบูรณ์ในโจทย์สอบย้อนหลัง จึงไม่สามารถนำมาใช้เป็นคำตอบที่ถูกต้องตามหลักวิชาการเภสัชกรรมได้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</si>
  <si>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PLE_CC1_2567_Set1_Key ข้อ 75</t>
  </si>
  <si>
    <t>ยาชนิดใดน่าจะเป็นสาเหตุของการแพ้มากที่สุดในผู้ป่วยรายนี้ &amp; &lt; PLE-PC1 Preparation 2567 PLE-PC1 Preparation 2567</t>
  </si>
  <si>
    <t>Metronidazole 400 mg TID</t>
  </si>
  <si>
    <t>Nitrofurantoin 100 mg BID</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</si>
  <si>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</si>
  <si>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PLE_CC1_2567_Set1_Key ข้อ 77</t>
  </si>
  <si>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</si>
  <si>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</si>
  <si>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PLE_CC1_2567_Set1_Key ข้อ 86</t>
  </si>
  <si>
    <t>สูตรยาPrep. ตัวเลือก</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</si>
  <si>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</si>
  <si>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Fasting blood glucose ??? Prophylaxis สำหรับป้องกันHIV ใช้สูตรยาใด Favipiravir ขายในร้านยาได้มั้ยเพราะอะไร</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</si>
  <si>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</si>
  <si>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Oral antibiotics</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</si>
  <si>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</si>
  <si>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ondansetron + dexsamethasone + Aprepitant</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</si>
  <si>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</si>
  <si>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เริมที่ปากให้Acyclovir ยังไง(การทำงานของไตปกติ) ตัวเลือก</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</si>
  <si>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</si>
  <si>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PLE-CC1 ปี 2566 Day 2 ข้อ 7</t>
  </si>
  <si>
    <t>พืชที่ใช้รักษาเริม. ตัวเลือก</t>
  </si>
  <si>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</si>
  <si>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PLE-CC1 ปี 2566 Day 2 ข้อ 26</t>
  </si>
  <si>
    <t>Amoxicillin 500 mg bid 10วัน</t>
  </si>
  <si>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</si>
  <si>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คำถามต่อจากสถานการณ์เคสตกขาวสีเขียวเหลืองมีฟองถามว่าข้อใดเป็นปัจจัยที่ทำให้ติดเชื้อดังกล่าว ตัวเลือก</t>
  </si>
  <si>
    <t>ใส่เสื้อผ้า</t>
  </si>
  <si>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</si>
  <si>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PLE-CC1 ปี 2566 Day 2 ข้อ 66</t>
  </si>
  <si>
    <t>Aprepitant + Ondansetron + Dexamethasone</t>
  </si>
  <si>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</si>
  <si>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</si>
  <si>
    <t>Venlafaxine</t>
  </si>
  <si>
    <t>NSAIDs สักตัว ลืมชื่อ (น;าจะ naproxen ไม;ก็ diclofenac)</t>
  </si>
  <si>
    <t>จำ choice ไม;ได</t>
  </si>
  <si>
    <t>จำ choice ไม;ได#</t>
  </si>
  <si>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</si>
  <si>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PLE_CC1_2565_Day1_Key ข้อ 12</t>
  </si>
  <si>
    <t>ต;อมาผูป%วยไปตรวจที่โรงพยาบาล พบว;าติดเชื้อ H. pylori ในทางเดินอาหาร ขอใดเปMนสูตรยาที่ควรใหกับ ผูป%วยรายนี้ Triple therapy (1st line)</t>
  </si>
  <si>
    <t>Amoxicillin + Clarithromycin + Omeprazole for 14 days</t>
  </si>
  <si>
    <t>Amoxicillin + Metronidazole + Omeprazole for 14 days</t>
  </si>
  <si>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ง.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ข้อ จ. (จำ choice ไม;ได#): ตัวเลือกนี้เป็นข้อความที่ไม่สมบูรณ์ในชุดข้อสอบย้อนหลัง จึงไม่มีข้อมูลทางเภสัชวิทยาที่ถูกต้องสำหรับการประเมินทางคลินิก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</si>
  <si>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PLE_CC1_2565_Day1_Key ข้อ 28</t>
  </si>
  <si>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</si>
  <si>
    <t>Pediculosis Pubis</t>
  </si>
  <si>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(จำ choice ไม;ได#): ตัวเลือกนี้เป็นข้อความที่ไม่สมบูรณ์ในชุดข้อสอบย้อนหลัง จึงไม่มีข้อมูลทางคลินิกที่นำมาใช้วินิจฉัยโรคได้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</si>
  <si>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PLE_CC1_2565_Day1_Key ข้อ 48</t>
  </si>
  <si>
    <t>part อื่นๆ PLE-CC1 Preparation 2565</t>
  </si>
  <si>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</si>
  <si>
    <t>ยาเปQนรูปแบบ ophthalmic suspension</t>
  </si>
  <si>
    <t>ไม-จำเปQนต$องใส- preservative เพราะยาตา sterile อยู-แล$ว</t>
  </si>
  <si>
    <t>ต$องปรับ pH ให$เท-ากับน้ำตา คือ pH 7.4</t>
  </si>
  <si>
    <t>ต$องปรับ pH 7.4 เพื่อให$เปQน isotonic</t>
  </si>
  <si>
    <t>ใช$ NaCl ในการทำให$สารละลายเปQน isotonic solution</t>
  </si>
  <si>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</si>
  <si>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PLE_CC1_2565_Day2_Key ข้อ 42</t>
  </si>
  <si>
    <t>ดื้อยา isoniazid, rifampicin จัดเปQนแบบใด</t>
  </si>
  <si>
    <t>poly-drug resistance TB</t>
  </si>
  <si>
    <t>mono resistance TB</t>
  </si>
  <si>
    <t>MDR-TB</t>
  </si>
  <si>
    <t>Pre-XDR-TB</t>
  </si>
  <si>
    <t>XDR-TB สูตรตำรับ Rifampicin capsule 1.2 g Glycerin PEG 400 Sorbitol solution Ascorbic acid EDTA PLE-CC1 Preparation 2565</t>
  </si>
  <si>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 PLE-CC1 Preparation 2565): XDR-TB (Extensively drug-resistant TB) นิยามว่าเป็นการดื้อยา MDR-TB ร่วมกับ Fluoroquinolone และยากลุ่ม Group A อย่างน้อยหนึ่งตัว (Bedaquiline หรือ Linezolid)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</si>
  <si>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PLE_CC1_2565_Day2_Key ข้อ 55</t>
  </si>
  <si>
    <t>ผู$ป&amp;วยควรได$รับยาต$านวัณโรคสูตรใดเปQนทางเลือกแรก ………………………………………………………………………………………………………………………………………………………… …………………………………………………………………………………………………………………………………………………………..</t>
  </si>
  <si>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</si>
  <si>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PLE_CC1_2565_Day2_Key ข้อ 48</t>
  </si>
  <si>
    <t>เกี่ยวกับติดเชื้อราในช-องคลอด ข$อใดเหมาะสมที่จะแนะนำในการใช$ยากับผู$ป&amp;วยรายนี้ STI management guideline 2024 Vaginal candidiasis</t>
  </si>
  <si>
    <t>ให$ใช$ clotrimazole เหน็บร-วมด$วย</t>
  </si>
  <si>
    <t>ดื่มน้ำ cranberry เพื่อป¢องกันการกลับเปQนซ้ำ</t>
  </si>
  <si>
    <t>หลีกเลี่ยงการมีเพศสัมพันธ6 จนกว-าตกขาวจะหาย</t>
  </si>
  <si>
    <t>ให$สวนล$างช-องคลอดด$วย lactic acid เพื่อป¢องกันการกลับมาเปQนซ้ำ</t>
  </si>
  <si>
    <t>หลีกเลี่ยงการกินยาร-วมกับนมหรือยาลดกรด</t>
  </si>
  <si>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</si>
  <si>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PLE_CC1_2565_Day2_Key ข้อ 63</t>
  </si>
  <si>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</si>
  <si>
    <t>ขายยาปลอม</t>
  </si>
  <si>
    <t>ขายยาผิดมาตรฐาน</t>
  </si>
  <si>
    <t>ไม-ควบคุมการขายให$เปQนไปตาม....</t>
  </si>
  <si>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(จำ choice ไม-ได$): ตัวเลือกนี้เป็นข้อความที่ไม่สมบูรณ์ในชุดข้อสอบย้อนหลัง จึงไม่มีข้อมูลทางกฎหมายหรือเภสัชวิทยาที่นำมาประเมินได้
• ข้อ จ. (จำ choice ไม-ได$): ตัวเลือกนี้เป็นข้อความที่ไม่สมบูรณ์ในชุดข้อสอบย้อนหลัง จึงไม่มีข้อมูลทางกฎหมายหรือเภสัชวิทยาที่นำมาประเมินได้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</si>
  <si>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PLE_CC1_2565_Day2_Key ข้อ 64</t>
  </si>
  <si>
    <t>TB 2 เคส (เคสนึงเริ่มยาสูตรไหน อีก เคสเปsนผื่นแพuยา)</t>
  </si>
  <si>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</si>
  <si>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PLE_CC1_2565_Day2_Key ข้อ 16</t>
  </si>
  <si>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</si>
  <si>
    <t>เหมาะสม</t>
  </si>
  <si>
    <t>ไม่เหมาะสม ควรใช้ HRZES</t>
  </si>
  <si>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</si>
  <si>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</si>
  <si>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PLE_CC1_2564_All_Key ข้อ 47</t>
  </si>
  <si>
    <t>ถ้าจะเพิ่ม compliance ให้ผู้ป่วย TB ที่ใช้ยา 4 ตัว ข้อใดไม่ควรทำที่สุด</t>
  </si>
  <si>
    <t>ตอกยา 4 ชั้น</t>
  </si>
  <si>
    <t>ทำเป็นเคลือบให้ยาปลดปล่อยมาทีละชั้น</t>
  </si>
  <si>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</si>
  <si>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</si>
  <si>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PLE_CC1_2564_All_Key ข้อ 49</t>
  </si>
  <si>
    <t>ข้อใดต่อไปนี้ผิดเกี่ยวกับการใช้ยารักษาโรค TB (ถามเกี่ยวกับอาการข้างเคียงของยาที่ควรรีบไปพบแพทย์)</t>
  </si>
  <si>
    <t>มีอาการทางตาให้รีบไปพบแพทย์</t>
  </si>
  <si>
    <t>คลื่นไส้ อาเจียน เบื่ออาหาร มีไข้ ให้รีบไปพบแพทย์</t>
  </si>
  <si>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</si>
  <si>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</si>
  <si>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PLE_CC1_2564_All_Key ข้อ 48</t>
  </si>
  <si>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</si>
  <si>
    <t>PLE_CC1_2564_All_Key ข้อ 75</t>
  </si>
  <si>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</si>
  <si>
    <t>PLE_CC1_2564_All_Key ข้อ 76</t>
  </si>
  <si>
    <t>แผลแบบใดไม่ควรให้ยา ATB</t>
  </si>
  <si>
    <t>แผลเปิดขอบเรียบตื้นที่แขน 3 cm</t>
  </si>
  <si>
    <t>แผลเปิดขอบเรียบที่ท้อง 3 cm</t>
  </si>
  <si>
    <t>แผลเปิดขอบเรียบที่ต้นขา 10 cm</t>
  </si>
  <si>
    <t>แผลขอบหยักเลอะดิน</t>
  </si>
  <si>
    <t>แผลโดนกัด</t>
  </si>
  <si>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</si>
  <si>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PLE_CC1_2564_All_Key ข้อ 89</t>
  </si>
  <si>
    <t>ผู้ป่วยติดเชื้อใด</t>
  </si>
  <si>
    <t>Neissera gonorrhea</t>
  </si>
  <si>
    <t>Hemophilus ducreyi</t>
  </si>
  <si>
    <t>Trichomomas vaginalis</t>
  </si>
  <si>
    <t>Herpes simplex type 2 X หË´มนาÆปทาซËาทืกกรณิ ÂวËนาต้จ²ÆดËรงบ¯นืญ´ต ceftriaxone 500 mg IM single dose + Suziabespie and (azithromycin 1g single dose</t>
  </si>
  <si>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</si>
  <si>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44 (PLE_CC1_2562_Key.md)</t>
  </si>
  <si>
    <t>การตรวจทางห้องปฏิบัติการใดมีเหมาะสมน้อยที่สุด , mossae X veudigerdesi ิg , netstarrine Gi , UTI motigino. isg &amp;IsGase!wrose God virus interne Distants erew we multi nucleated</t>
  </si>
  <si>
    <t>Giemza stain</t>
  </si>
  <si>
    <t>Dark field</t>
  </si>
  <si>
    <t>Gram strain and culture</t>
  </si>
  <si>
    <t>RPR</t>
  </si>
  <si>
    <t>VDRL</t>
  </si>
  <si>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</si>
  <si>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47 (PLE_CC1_2562_Key.md)</t>
  </si>
  <si>
    <t>หากผู้ป่วยต้องการป้องกันการติดเชื้อ HIV (Prep prophylaxis) ควรได้รับยาสูตรใด giant cell virox drei (WBC verepent ~ I</t>
  </si>
  <si>
    <t>AZT monotherapy</t>
  </si>
  <si>
    <t>AZT+3TC</t>
  </si>
  <si>
    <t>TDF+FTC</t>
  </si>
  <si>
    <t>TDF+3TC+EFV</t>
  </si>
  <si>
    <t>d4T+3TC+NVP</t>
  </si>
  <si>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</si>
  <si>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48 (PLE_CC1_2562_Key.md)</t>
  </si>
  <si>
    <t>ควรจัดการ การให้ยาอย่างไรกับผู้ป่วย x Tumogross hs isoniazid X X isoniazid X &amp;eied's extensive phase I, R 41862 intensive phase : I , R, ~ 56 Ecwiddie . X --- 1s</t>
  </si>
  <si>
    <t>ให้ยาทุกตัวเหมือนเดิม</t>
  </si>
  <si>
    <t>หยุดยา H,R,Z แล้วไปให้ยาตัวอื่นที่ไม่เกิดอาการไม่พึงประสงค์นี้แทน</t>
  </si>
  <si>
    <t>หยุดยา H แล้วไปให้ยาตัวอื่นที่ไม่เกิดอาการไม่พึงประสงค์นี้แทน</t>
  </si>
  <si>
    <t>หยุดยา R แล้วไปให้ยาตัวอื่นที่ไม่เกิดอาการไม่พึงประสงค์นี้แทน</t>
  </si>
  <si>
    <t>หยุดยา E แล้วไปให้ยาตัวอื่นที่ไม่เกิดอาการไม่พึงประสงค์นี้แทน หË´มนาÆปทาซËาทืกกรณิ ÂวËนาต้จ²ÆดËรงบ¯นืญ´ต ~</t>
  </si>
  <si>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</si>
  <si>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ข้อ 11 (PLE_CC1_2562_Key.md)</t>
  </si>
  <si>
    <t>จงคำนวณ ANC (WBC count 2000, PMN 5%, Band 5%, Eosinophil 1%. Lymphocyte 1) - X reversible</t>
  </si>
  <si>
    <t>50</t>
  </si>
  <si>
    <t>100</t>
  </si>
  <si>
    <t>150</t>
  </si>
  <si>
    <t>200</t>
  </si>
  <si>
    <t>240</t>
  </si>
  <si>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</si>
  <si>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54 (PLE_CC1_2562_Key.md)</t>
  </si>
  <si>
    <t>จากอาการผูป%วยเกิดจากการติดเชื้อใดมากที่สุด</t>
  </si>
  <si>
    <t>HSV-1</t>
  </si>
  <si>
    <t>HSV-2</t>
  </si>
  <si>
    <t>Varicella zoster virus</t>
  </si>
  <si>
    <t>Neisseria gonorrhea</t>
  </si>
  <si>
    <t>Chlamydia trachomatis I</t>
  </si>
  <si>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</si>
  <si>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22 (PLE_CC1_2561_Key.md)</t>
  </si>
  <si>
    <t>ขอใดคือกลไกการออกฤทธิ์ของยา valacyclovir</t>
  </si>
  <si>
    <t>Protease inhibitor</t>
  </si>
  <si>
    <t>Integrase inhibitor</t>
  </si>
  <si>
    <t>DNA polymerase inhibitor</t>
  </si>
  <si>
    <t>Nucleotide reverse transcriptase inhibitor t</t>
  </si>
  <si>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</si>
  <si>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23 (PLE_CC1_2561_Key.md)</t>
  </si>
  <si>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</si>
  <si>
    <t>90.3 %</t>
  </si>
  <si>
    <t>92.4 %</t>
  </si>
  <si>
    <t>93.4 %</t>
  </si>
  <si>
    <t>94.7 %</t>
  </si>
  <si>
    <t>95.6 % o</t>
  </si>
  <si>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</si>
  <si>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24 (PLE_CC1_2561_Key.md)</t>
  </si>
  <si>
    <t>จากกรณีศึกษาขางตนคาดว!าผูป%วยติดเชื้อตัวใด</t>
  </si>
  <si>
    <t>Tricosporum spp.</t>
  </si>
  <si>
    <t>Epidermophyton spp.</t>
  </si>
  <si>
    <t>Cryptococcus neoforman</t>
  </si>
  <si>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</si>
  <si>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38 (PLE_CC1_2561_Key.md)</t>
  </si>
  <si>
    <t>สูตรยาต(านไวรัสสูตรใดที่ใช(ในการปqองกันก.อนสัมผัสโรค (PrEP)</t>
  </si>
  <si>
    <t>TDF + 3TC</t>
  </si>
  <si>
    <t>AZT + 3TC</t>
  </si>
  <si>
    <t>TDF + FTC</t>
  </si>
  <si>
    <t>TDF + FTC + Lo/r</t>
  </si>
  <si>
    <t>TDF + 3TC + EFV</t>
  </si>
  <si>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</si>
  <si>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47 (PLE_CC1_2561_Key.md)</t>
  </si>
  <si>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</si>
  <si>
    <t>Perceived susceptibility ต่้า</t>
  </si>
  <si>
    <t>Perceived barrier ต่้า</t>
  </si>
  <si>
    <t>Perceived benefit ต่้า</t>
  </si>
  <si>
    <t>Perceived seriousness ต่้า</t>
  </si>
  <si>
    <t>ไม่มีปัจจัยกระตุ้นให้ใส่ถุงยาง</t>
  </si>
  <si>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</si>
  <si>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ข้อใดไม่ถูกต้องเกี่ยวกับการเรียกยาคืน</t>
  </si>
  <si>
    <t>ต้องสามารถเรียกยาคืนได้ทันทีเมื่อเกิดปัญหา</t>
  </si>
  <si>
    <t>การเรียกยาคืนเป็นหน้าที่ของฝ่ายขายและการตลาดเท่านั้น</t>
  </si>
  <si>
    <t>มีระบบการเรียกยาคืนที่เป็นปัจจุบัน</t>
  </si>
  <si>
    <t>ถ้าเกิดปัญหาต้องมีการเรียกยาคืน</t>
  </si>
  <si>
    <t>การเรียกยาคืนต้องแจ้ง อย. ทุกครั้ง</t>
  </si>
  <si>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</si>
  <si>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8 (PLE_CC1_2558_Key.md)</t>
  </si>
  <si>
    <t>ข้อใดไม่ถูกต้องเกี่ยวกับ amoxicillin/clavulanic acid</t>
  </si>
  <si>
    <t>ไม่ถูกทำลายโดย beta lactamase</t>
  </si>
  <si>
    <t>เกิดปฏิกิริยา hydrolysis</t>
  </si>
  <si>
    <t>เกิดปฏิกิริยา epimerization</t>
  </si>
  <si>
    <t>Clavulanic acid ไม่ใช่สารออกฤทธิ์</t>
  </si>
  <si>
    <t>เป็นยาในกลุ่ม aminopenicillin กรณีศึกษา 3</t>
  </si>
  <si>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</si>
  <si>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16 (PLE_CC1_2558_Key.md)</t>
  </si>
  <si>
    <t>ข้อใดคือสูตรยารักษาแรก ที่แนะนำให้ใช้ในผู้ติดเชื้อเอชไอวีที่ไม่มีข้อห้ามใช้</t>
  </si>
  <si>
    <t>TDF+FTC+RPV</t>
  </si>
  <si>
    <t>TDF+FTC+DTG</t>
  </si>
  <si>
    <t>ABC+3TC+DTG</t>
  </si>
  <si>
    <t>AZT+FTC+DTG</t>
  </si>
  <si>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</si>
  <si>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31 (Pharmtutor_2024_Set1.md)</t>
  </si>
  <si>
    <t>การใช้ยา Amoxicillin+Clavulanic acid สามารถพบผลข้างเคียงใดได้บ่อยที่สุด</t>
  </si>
  <si>
    <t>เวียนศีรษะ</t>
  </si>
  <si>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</si>
  <si>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36 (Pharmtutor_2024_Set1.md)</t>
  </si>
  <si>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</si>
  <si>
    <t>Trichomonas</t>
  </si>
  <si>
    <t>Candida Albicans</t>
  </si>
  <si>
    <t>Herpes Simplex</t>
  </si>
  <si>
    <t>Papilloma Virus</t>
  </si>
  <si>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</si>
  <si>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41 (Pharmtutor_2024_Set1.md)</t>
  </si>
  <si>
    <t>เชื้อสาเหตุใดที่พบได้มากที่สุดในการติดเชื้อปอกอักเสบชนิด Community-acquired pneumonia (CAP)</t>
  </si>
  <si>
    <t>Acinetobacter baumannii</t>
  </si>
  <si>
    <t>Klebsiella pneumoniae</t>
  </si>
  <si>
    <t>Mycoplasma pneumoniae</t>
  </si>
  <si>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</si>
  <si>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43 (Pharmtutor_2024_Set1.md)</t>
  </si>
  <si>
    <t>หากผู้ป่วยมีการติดเชื้อ MRSA ยาชนิดใดเหมาะสมมากที่สุด</t>
  </si>
  <si>
    <t>Ceftazidime</t>
  </si>
  <si>
    <t>Meropenem</t>
  </si>
  <si>
    <t>Piperacillin-tazobactam</t>
  </si>
  <si>
    <t>Vancomycin</t>
  </si>
  <si>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</si>
  <si>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44 (Pharmtutor_2024_Set1.md)</t>
  </si>
  <si>
    <t>ข้อใดต่อไปนี้ คือ specific test ของ dosage form ดังกล่าว</t>
  </si>
  <si>
    <t>Minimum fill</t>
  </si>
  <si>
    <t>Impurities test</t>
  </si>
  <si>
    <t>Sterility tests</t>
  </si>
  <si>
    <t>Microbial limit test</t>
  </si>
  <si>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</si>
  <si>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101 (Pharmtutor_2024_Set1.md)</t>
  </si>
  <si>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</si>
  <si>
    <t>300/1000</t>
  </si>
  <si>
    <t>350/1000</t>
  </si>
  <si>
    <t>50/700</t>
  </si>
  <si>
    <t>350/700</t>
  </si>
  <si>
    <t>50/1000</t>
  </si>
  <si>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</si>
  <si>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115 (Pharmtutor_2024_Set1.md)</t>
  </si>
  <si>
    <t>ข้อใดคือ กลไกการออกฤทธิ์ของ Acyclovir</t>
  </si>
  <si>
    <t>ยับยั้ง Viral DNA polymerase</t>
  </si>
  <si>
    <t>ยับยั้ง 14-alpha demethylase</t>
  </si>
  <si>
    <t>ยับยั้ง DNA gyrase</t>
  </si>
  <si>
    <t>ยับยั้ง Nucleoside reverse transcriptase</t>
  </si>
  <si>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</si>
  <si>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15 (Pharmtutor_2024_Set2.md)</t>
  </si>
  <si>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</si>
  <si>
    <t>Tenofovir + Emtricitabine</t>
  </si>
  <si>
    <t>Tenofovir + Lamivudine + Dolutegravir</t>
  </si>
  <si>
    <t>Tenofovir + Emtricitabine + Zidovudine</t>
  </si>
  <si>
    <t>Zidovudine + Lamivudine + Nevirapine</t>
  </si>
  <si>
    <t>Abacavir + Lamivudine + Dolutegravir</t>
  </si>
  <si>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</si>
  <si>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32 (Pharmtutor_2024_Set2.md)</t>
  </si>
  <si>
    <t>อธิบายความแตกต่างของโรคคอหอยอักเสบ (Pharyngystis) ระหว่างสาเหตุจากการติดเชื้อไวรัสและแบคทีเรีย</t>
  </si>
  <si>
    <t>การติดเชื้อไวรัสส่วนมากมีอาการของไข้แสดงเด่น</t>
  </si>
  <si>
    <t>การติดเชื้อไวรัสจะมีอาการรุนแรงจำเป้นต้องใช้ยาในการรักษาผู้ป่วยทุกรายโดยเฉพาะกรณีคนไข้เด็กและผู้สูง อายุ</t>
  </si>
  <si>
    <t>การตอบสนองต่อการติดเชื้อแบคทีเรีย เมื่อพบว่ามีอาการแสดงแล้วจำเป็นต้องใช้ยาปฏิชีวนะในการรักษาในผู้ป่วยทุกราย</t>
  </si>
  <si>
    <t>การที่ผู้ป่วยมีอาการของจุดหนองบริเวณลำคอ ร่วมกับบวมบริเวณลำคอ ส่วนมากมีสาเหตุมาจากการติดเชื้อแบคทีเรีย</t>
  </si>
  <si>
    <t>การติดเชื้อแบคทีเรียจะมีอาการคล้ายกับติดเชื้อไวรัส แต่จะพบอาการแสดงที่น้องกว่าการติดเชื้อไวรัสอย่างมีนัยสำคัญ</t>
  </si>
  <si>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</si>
  <si>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36 (Pharmtutor_2024_Set2.md)</t>
  </si>
  <si>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</si>
  <si>
    <t>Group A staphylococcus</t>
  </si>
  <si>
    <t>Rotavirus</t>
  </si>
  <si>
    <t>Ebstein-Barr</t>
  </si>
  <si>
    <t>Group A streptococcus</t>
  </si>
  <si>
    <t>Gram negative Bacilli</t>
  </si>
  <si>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</si>
  <si>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37 (Pharmtutor_2024_Set2.md)</t>
  </si>
  <si>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</si>
  <si>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</si>
  <si>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ข้อ 3 (PLE_CC1_2557.md)</t>
  </si>
  <si>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</si>
  <si>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</si>
  <si>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</si>
  <si>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</si>
  <si>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ข้อ 4 (PLE_CC1_2557.md)</t>
  </si>
  <si>
    <t>เป็น isotonic solution</t>
  </si>
  <si>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</si>
  <si>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ข้อใดควรแนะนำสำหรับผู้ป่วยรายนี้ (Caseติดเชื้อ tricomonasis)</t>
  </si>
  <si>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</si>
  <si>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ติดเชื้อแบคทีเรียในโพรงจมูก</t>
  </si>
  <si>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</si>
  <si>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 (PLE_CC1_2555 Day 2.md)</t>
  </si>
  <si>
    <t>ติดเชื้อแบคทีเรีย</t>
  </si>
  <si>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</si>
  <si>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เปลี่ยนจาก amoxicillin เป็น ciprofloxacin</t>
  </si>
  <si>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</si>
  <si>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เปลี่ยนจาก amoxicillin เป็น azithromycin</t>
  </si>
  <si>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</si>
  <si>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ลด amoxicillin ลงครึ่งหนึ่ง</t>
  </si>
  <si>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</si>
  <si>
    <t>ติดเชื้อแบคทีเรีย แต่ติดเชื้อเพิ่มอีกตัวหนึ่ง</t>
  </si>
  <si>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</si>
  <si>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ติดเชื้อที่หูส่วนกลาง</t>
  </si>
  <si>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</si>
  <si>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Burrow solution</t>
  </si>
  <si>
    <t>) .......... ointment</t>
  </si>
  <si>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</si>
  <si>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</si>
  <si>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</si>
  <si>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การจะตรวจว่าผู้ป่วยเป็นวัณโรคต้องตรวจหาเชื้ออะไร</t>
  </si>
  <si>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</si>
  <si>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ติดเชื้อ HIV แต่ไม่ใช่ผู้ป่วยเอดส์</t>
  </si>
  <si>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</si>
  <si>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ติดเชื้อวัณโรคแต่ไม่เป็นเอดส์</t>
  </si>
  <si>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</si>
  <si>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เลือกสูตร GPO-vir หลังรักษา TB 2-4 สัปดาห์</t>
  </si>
  <si>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</si>
  <si>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เปลี่ยนเป็น Efavirenz เพื่อป้องกันการเกิดอันตรกิริยากับยา Rifampin</t>
  </si>
  <si>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</si>
  <si>
    <t>KI+I2 เป็นการเตรียมยาโดยใช้เทคนิคพิเศษที่เรียกว่าอะไร</t>
  </si>
  <si>
    <t>complexation</t>
  </si>
  <si>
    <t>trituration</t>
  </si>
  <si>
    <t>emulsification</t>
  </si>
  <si>
    <t>suspension</t>
  </si>
  <si>
    <t>levigation 39.การทำ KI+I2 ควรเตรียมโดยข้อใด</t>
  </si>
  <si>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</si>
  <si>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38 (PLE_CC1_2554 SET1.md)</t>
  </si>
  <si>
    <t>ผลข้างเคียงจากการใช้ยา acyclovir</t>
  </si>
  <si>
    <t>ปวดเมื่อย</t>
  </si>
  <si>
    <t>ตาพร่า</t>
  </si>
  <si>
    <t>หยุดหายใจ อ้างอิง: www.drugs.com</t>
  </si>
  <si>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</si>
  <si>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</si>
  <si>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</si>
  <si>
    <t>ท่านควรจ่ายปฏิชีวนะใด แก่ผู้ป่วยรายนี้ เพื่อป้องกันการติดเชื้อข้างต้น ก . ketoconazole</t>
  </si>
  <si>
    <t>imipenam ค . tetracycline</t>
  </si>
  <si>
    <t>amoxicillin</t>
  </si>
  <si>
    <t>cloxacillin carbapenem (MSSA) โดย cloxacillin มีประสิทธิภาพดีที่สุดใน ,cephalosporin ส่วน ketoconazole เป็นยารักษาเชื้อรา (Survival Guide on Pharmacotherapy Vol. 1)</t>
  </si>
  <si>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</si>
  <si>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24 (PLE_CC1_2554 SET2.md)</t>
  </si>
  <si>
    <t>ข้อใดถูกต้องเกี่ยวกับกลไกของยา acyclovir</t>
  </si>
  <si>
    <t>ยับยั้ง RNA polymerase</t>
  </si>
  <si>
    <t>เปลี่ยนเป็น triphosphate เท่านั้น จึงจะออกฤทธิ์</t>
  </si>
  <si>
    <t>เป็น product เมื่อเข้าสู่ร่างกายจะกลายเป็น valacyclovir</t>
  </si>
  <si>
    <t>มีเฉพาะรูปแบบยารับประทานเท่านั้น</t>
  </si>
  <si>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</si>
  <si>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</si>
  <si>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renal insufficiency Precautions</t>
  </si>
  <si>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</si>
  <si>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</si>
  <si>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</si>
  <si>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ข้อ 8 (PLE_CC1_2533.md)</t>
  </si>
  <si>
    <t>โรคติดเชื้อ 65 81</t>
  </si>
  <si>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</si>
  <si>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</si>
  <si>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</si>
  <si>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ผู้ป่วยควรได้รับการรักษาด้วยยาต้านเชื้อวัณโรคสูตรใด</t>
  </si>
  <si>
    <t>4HRZE/2HR</t>
  </si>
  <si>
    <t>2HRZES/1HRZE/5HRE</t>
  </si>
  <si>
    <t>2HRZE/4HR</t>
  </si>
  <si>
    <t>2RZE/10RE</t>
  </si>
  <si>
    <t>2SHE/16HE</t>
  </si>
  <si>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</si>
  <si>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ข้อใดต่อไปนี้กล่าวผิดเกี่ยวกับยา Isoniazid</t>
  </si>
  <si>
    <t>ยาออกฤทธิ์ต้านเชื้อวัณโรคโดยยับยั้งการสร้าง DNA ของเชื้อวัณโรค</t>
  </si>
  <si>
    <t>ในผู้ป่วยรายนี้สามารถได้รับยา Isoniazid ในขนาด 300 mg ต่อวันได้</t>
  </si>
  <si>
    <t>ยาลดกรดสามารถลดประสิทธิภาพของยา Isoniazid</t>
  </si>
  <si>
    <t>ผู้ป่วยทุกรายที่ได้รับยา Isoniazid ควรต้องได้รับ Pyridoxine</t>
  </si>
  <si>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</si>
  <si>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เอนไซม์ตับเพิ่มขึ้น (Asymptomatic transaminitis) เป็นอาการไม่พึงประสงค์ที่พบได้บ่อยจาก Isoniazid และต้องหยุดยาหากค่าตับสูงเกินเกณฑ์กำหนด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</si>
  <si>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การให้ยา Quinine ในการรักษาโรคมาลาเรียกรณีติดเชื้อมาลาเรียชนิดฟัลซิพารัมรุนแรง เพราะเหตุใดจึง ไม่ให้แบบ bolus injection</t>
  </si>
  <si>
    <t>การให้แบบ bolus injection อาจทำให้เกิด cardiotoxic effects เช่น หัวใจหยุดเต้นได้</t>
  </si>
  <si>
    <t>การให้แบบ bolus injection ทำให้ยาอยู่ในกระแสเลือดไม่นานพอที่จะฆ่าเชื้อได้หมด</t>
  </si>
  <si>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</si>
  <si>
    <t>การให้แบบ bolus injection ทำให้เกิดผลข้างเคียงจากยาโดยทั่วไปลดลง แต่ผลข้างเคียงถึงแก่ชีวิตเพิ่ม มากขึ้นอย่างมาก</t>
  </si>
  <si>
    <t>ตำรับของตัวยาอยู่ในรูป emulsion แบบ w/o ไม่สามารถให้แบบ IV ได้</t>
  </si>
  <si>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ค่าครึ่งชีวิตของยาถูกกำหนดโดยอัตราการกำจัดยาของร่างกาย (Clearance และ Volume of distribution) ไม่ได้สั้นลงจากการบริหารยาแบบ bolus
• ข้อ ง. (การให้แบบ bolus injection ทำให้เกิดผลข้างเคียงจากยาโดยทั่วไปลดลง แต่ผลข้างเคียงถึงแก่ชีวิตเพิ่ม มากขึ้นอย่างมาก): การให้ยาแบบ rapid bolus injection เพิ่มความเสี่ยงต่อการเกิดผลข้างเคียงรุนแรงถึงแก่ชีวิต เช่น severe hypotension, arrhythmia และ hypoglycemia โดยไม่ได้ช่วยลดผลข้างเคียงทั่วไป
• ข้อ จ. (ตำรับของตัวยาอยู่ในรูป emulsion แบบ w/o ไม่สามารถให้แบบ IV ได้): ตำรับ Quinine dihydrochloride สำหรับฉีดเตรียมเป็นสารละลายน้ำปราศจากเชื้อ (Aqueous solution) ไม่ได้อยู่ในรูป w/o emulsion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</si>
  <si>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ตัวยา Metronidazole สามารถใช้รักษาการติดเชื้อของสิ่งมีชีวิตกลุ่มใดได้บ้าง</t>
  </si>
  <si>
    <t>Virus</t>
  </si>
  <si>
    <t>Protozoa</t>
  </si>
  <si>
    <t>Aerobic bacteria</t>
  </si>
  <si>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</si>
  <si>
    <t>ถูกต้องทั้งข้อ ข และ ง</t>
  </si>
  <si>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Metronidazole ออกฤทธิ์ฆ่าเชื้อแบคทีเรียกลุ่ม Anaerobic bacteria ได้ดีเยี่ยม แต่นอกจากนี้ยังมีฤทธิ์ฆ่าเชื้อ Protozoa จึงตอบข้อนี้เพียงข้อเดียวยังไม่สมบูรณ์
• ข้อ จ. (ถูกต้องทั้งข้อ ข และ ง): ข้อ ข และ ง ถูกต้อง เนื่องจาก Metronidazole มีข้อบ่งใช้ในการรักษาทั้งการติดเชื้อโปรโตซัวและแบคทีเรียที่ไม่ใช้ออกซิเจน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</si>
  <si>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44 (PLE_CC1_Practice_Exam.md)</t>
  </si>
  <si>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</si>
  <si>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</si>
  <si>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Ketoconazole ชนิดรับประทานมีประสิทธิภาพต้านเชื้อรา Candida แต่ปัจจุบันไม่แนะนำให้ใช้เนื่องจากมีความเป็นพิษต่อตับสูง (Hepatotoxicity) และเสี่ยงต่อ adrenal insufficiency
• ข้อ ค. (Fluconazole): Fluconazole เป็นยากลุ่ม Azole ที่มีฤทธิ์ต้าน Candida spp. ได้ดีมาก และได้รับการแนะนำเป็นทางเลือกในการรักษาโรคนพลักษณ์จากเชื้อราแคนดิดา
• ข้อ ง. (Itraconazole): Itraconazole เป็นยาทางเลือกอันดับแรกที่มีประสิทธิภาพสูงในการรักษาโรคเชื้อราที่เล็บจากทั้ง Dermatophytes และ Candida spp. ผ่านรูปแบบ pulse therapy
• ข้อ จ. (Terbinafine): Terbinafine ออกฤทธิ์ยับยั้ง squalene epoxidase เป็น first-line สำหรับ dermatophyte onychomycosis แต่อาจมีประสิทธิภาพต่อเชื้อรา Candida ต่ำกว่ายากลุ่ม azoles เล็กน้อย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</si>
  <si>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</si>
  <si>
    <t>เกิดจากการติดไวรัส Herpes simplex Type I</t>
  </si>
  <si>
    <t>ผู้ป่วยรายนี้จัดเป็น Primary Infection เนื่องจากเป็นการรักษาเริมหลังจากรักษาครั้งแรกหายขาด แล้ว</t>
  </si>
  <si>
    <t>เมื่อมีอาการคัน สามารถใช้ยา topical ทาภายใน 48 ชั่วโมง เพื่อลดความรุนแรงของโรค</t>
  </si>
  <si>
    <t>การรักษาสำหรับผู้ป่วยรายนี้ สามารถใช้ Valacyclovir 500 mg bid 3 วัน</t>
  </si>
  <si>
    <t>การรักษาสำหรับผู้ป่วยรายนี้ สามารถใช้ Valacyclovir 500 mg bid 7 - 10 วัน จากข้อมูลต่อไปนี้ จงตอบคำถามข้อ 34-35</t>
  </si>
  <si>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</si>
  <si>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ข้อใดกล่าวผิดเกี่ยวกับโครงสร้างของยา Dicloxacillin และยา Amoxicillin</t>
  </si>
  <si>
    <t>หมายเลข 1 ในโครงสร้างของยา Dicloxacillin และ Amoxicillin มีชื่อว่า Thiazolidine ring</t>
  </si>
  <si>
    <t>หมายเลข 3 ในโครงสร้างของยา Dicloxacillin คือ Phenyl-isoxazole ring วางตัวตั้งฉากกับ β- lactam ring ทำให้ทนต่อ β-lactamase enzyme</t>
  </si>
  <si>
    <t>หมายเลข 2 ในโครงสร้างของยา Amoxicillin ทำให้ยาทนกรดในกระเพาะอาหารมากขึ้น</t>
  </si>
  <si>
    <t>หมายเลข 4 ในโครงสร้างของยา Amoxicillin ทำให้ยา Amoxicillin เป็น para-hydroxy analog ของ Ampicillin</t>
  </si>
  <si>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</si>
  <si>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</si>
  <si>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หากตรวจพบว่าเกิดจากการติดเชื้อ Pseudomonas aeruginosa ยาในข้อใดที่เหมาะสมในการรักษาที่ ครอบคลุมเชื้อมากที่สุด</t>
  </si>
  <si>
    <t>Polymyxin B</t>
  </si>
  <si>
    <t>Clarithromycin</t>
  </si>
  <si>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</si>
  <si>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20 (PLE_CC1_Practice_Exam.md)</t>
  </si>
  <si>
    <t>การประเมินความเสี่ยงเพื่อแยกการติดเชื้อไวรัสหรือแบคทีเรียโดยใช้ตาม Mclsacc Criteria ของผู้ป่วย รายนี้ได้เท่ากับกี่คะแนน</t>
  </si>
  <si>
    <t>1 คะแนน</t>
  </si>
  <si>
    <t>2 คะแนน</t>
  </si>
  <si>
    <t>3 คะแนน</t>
  </si>
  <si>
    <t>4 คะแนน</t>
  </si>
  <si>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</si>
  <si>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5 คะแนน เป็นคะแนนที่คำนวณถูกต้องตามเกณฑ์ Modified Centor (McIsaac) score โดยได้จาก ไข้ (&gt;38C) = 1, ไม่มีอาการไอ = 1, ต่อมทอนซิลบวมมีหนอง = 1, ต่อมน้ำเหลืองใต้คางเจ็บ = 1, และอายุ 10 ปี (3-14 ปี) = 1 รวมเป็น 5 คะแนน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</si>
  <si>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37 (PLE_CC1_Practice_Exam.md)</t>
  </si>
  <si>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</si>
  <si>
    <t>Photosensitivity drug eruption</t>
  </si>
  <si>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</si>
  <si>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</si>
  <si>
    <t>Active ingredient</t>
  </si>
  <si>
    <t>Flavoring agent</t>
  </si>
  <si>
    <t>Stabilizing agent</t>
  </si>
  <si>
    <t>Co-solvent</t>
  </si>
  <si>
    <t>Solvent - คอลลอยด์</t>
  </si>
  <si>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</si>
  <si>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ผู้ป่วยมีอาการติดเชื้อ เพิ่มขึ้น sinusitis เกิดจากเชื้ออะไร FงพบในยาแบบJ Kนเ%นละอองฝอย</t>
  </si>
  <si>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</si>
  <si>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16 (PLE_CC1_Key_Rx20_UBU.md)</t>
  </si>
  <si>
    <t>M. catharis sinusitis เกิดจากเชื้อ S. pneumonia , H.influenza , 5. aureas</t>
  </si>
  <si>
    <t>Amoxicillin + clavulanic acid</t>
  </si>
  <si>
    <t>) Vancomycin</t>
  </si>
  <si>
    <t>) Piperacillin/tazobactam</t>
  </si>
  <si>
    <t>) Meropenem First line ATB for Sinusitis คือ Amoxicillin หากไม่ได้ผลหรือแพ้ยา จึงเลือกใช้ยาอื่น โดย regimen คือ Amoxillin 500 mg TID 10-14 days</t>
  </si>
  <si>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</si>
  <si>
    <t>Sorbitol solution</t>
  </si>
  <si>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</si>
  <si>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Community-acquired pneumonia</t>
  </si>
  <si>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</si>
  <si>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 carinii pneumonia</t>
  </si>
  <si>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</si>
  <si>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Mycoplasma pneumonia</t>
  </si>
  <si>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</si>
  <si>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Ceftriaxone+Metronidazole</t>
  </si>
  <si>
    <t>Ceftriaxone+Roxithromycin</t>
  </si>
  <si>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</si>
  <si>
    <t>เพาะเชื้อแล้วพบว่าผู้ป่วยติดเชื้อ P. aeroginisa ยาใดควรนำมาใช้</t>
  </si>
  <si>
    <t>ผู้ป่วยใช้เครื่องช่วยหำยใจแล้วติดเชื้อ A. baumbanii ใช้ยาอะไร</t>
  </si>
  <si>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</si>
  <si>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โรคติดเชื้อ ปัสสาวะคั่ง อาจทำให้ผู้ป่วยที่มีโรคทางเดินปัสสาวะแย่ลง</t>
  </si>
  <si>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</si>
  <si>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โครงสร้างใดต่อไปนี้ที่จะใช้คู่กับยา Amoxicillin เพื่อป้องกันการถูกทำลายโดย Enzyme ของแบคทีเรีย</t>
  </si>
  <si>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</si>
  <si>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แนะนำให้ผู้ป่วยไปตรวจการติดเชื้อ HIV</t>
  </si>
  <si>
    <t>Cotrimoxazole ตามแนวทางการรักษาสามารถเลือกใช้ยาได้แก่ Amoxicillin 500 mg po TID, Amoxicillin/Clavulanate 500/125 mg po TID, Cefixime 200-400 mg po BID, Cefdinir 300 mg BID หรือ 600 mg OD เป็นต้น</t>
  </si>
  <si>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</si>
  <si>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</si>
  <si>
    <t>จากรูปโครงสร้างยา ceftriaxone ห้ามผสมใน diluent ชนิดไหน - dome = 100 my/m</t>
  </si>
  <si>
    <t>ข้อ 31 (PLE_CC1_Key_Rx20_UBU.md)</t>
  </si>
  <si>
    <t>Ringer solution Ceftriaxone เกิด incomplatibity กับ calcium ในสารน้ำ Ringer solution</t>
  </si>
  <si>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</si>
  <si>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 ceftriaxone ที่ใช้ในการรักษาผู้ป่วยรายนี้ ควรบริหารยาแบบใด</t>
  </si>
  <si>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</si>
  <si>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32 (PLE_CC1_Key_Rx20_UBU.md)</t>
  </si>
  <si>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</si>
  <si>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</si>
  <si>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33 (PLE_CC1_Key_Rx20_UBU.md)</t>
  </si>
  <si>
    <t>ไม่ต้องจ่ายค่ายารักษาโรคติดเชื้อฉวยโอกาส แต่ต้องจ่ายเงินค่ารักษาโรคเอดส์</t>
  </si>
  <si>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</si>
  <si>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</si>
  <si>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ยาปฏิชีวนะในข$อใด เปญนทางเลือกแรกสำหรับการรักษาภาวะ Spontaneous bacterial peritonitis (1) Amoxicillin (2) Cefotaxime (3) Colistimethate (4) Clindamycin (5) Ofloxacin</t>
  </si>
  <si>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</si>
  <si>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</si>
  <si>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</si>
  <si>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</si>
  <si>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</si>
  <si>
    <t>นำยา Ceftazidime 1 vial มาผสมกับ 0.9% NaCl 5 ml จากนั้นดูดมา 2.5 ml แล$วเติม Isotonic solution 7.5 ml</t>
  </si>
  <si>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</si>
  <si>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ชั่งยา Ceftazidime 500 mg แล$วเติม Isotonic solution จนครบ 10 ml</t>
  </si>
  <si>
    <t>นำยา Ceftazidime 1 vial มาผสมกับ 0.9% NaCl 2.5 ml จากนั้นดูดมา 2.5 ml แล$วเติม Isotonic solution 7.5 ml</t>
  </si>
  <si>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</si>
  <si>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ชั่งยา Ceftazidime 250 mg แล$วเติม Isotonic solution จนครบ 10 ml</t>
  </si>
  <si>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</si>
  <si>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นำยา Ceftazidime 1 vial มาผสมกับ 0.9% NaCl 5 ml จากนั้นดูดมา 5 ml แล$วเติม Isotonic solution 5 ml</t>
  </si>
  <si>
    <t>เปลี่ยน Ceftazidime เปญน Ceftriaxone</t>
  </si>
  <si>
    <t>Amoxicillin เปญนยาที่ทนกรด สามารถรับประทานได$ จากโครงสร$างของ Amoxicillin สGวนใดที่ทำให$ Amoxicillin รับประทานได$</t>
  </si>
  <si>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</si>
  <si>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65 (PLE_CC1_Key_Rx20_UBU.md)</t>
  </si>
  <si>
    <t>ยาต้าน HIV ที่ควรให้ในผู้ป่วยรายนี้</t>
  </si>
  <si>
    <t>ยาที่ควรได้รับในผู้ป่วยรายนี้เพื่อป้องกันโรคติดเชื้อฉวยโอกาส</t>
  </si>
  <si>
    <t>Herpe zoster ตากุ้งยิงเป็นการอักเสบหรือติดเชื้อจากการอุดตันของต่อมไขมันบริเวณเปลือกตา</t>
  </si>
  <si>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</si>
  <si>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dicloxacillin ต่างจาก amoxicillin อย่างไร</t>
  </si>
  <si>
    <t>ทน bata lactamase มากกว่า amoxicillin</t>
  </si>
  <si>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</si>
  <si>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ใช้ร่วมกับยา rifampin</t>
  </si>
  <si>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</si>
  <si>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</si>
  <si>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ป้องกันภาวะแทรกซ้อนจากการติดเชื้อในช่องท้อง</t>
  </si>
  <si>
    <t>น่าจะติดเชื้อใด</t>
  </si>
  <si>
    <t>ข้อใดน่าจะเป็นสาเหตุของการติดเชื้อในครั้งนี้มากที่สุด</t>
  </si>
  <si>
    <t>Fluticasone ICS</t>
  </si>
  <si>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</si>
  <si>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ติดเชื้อ H.pylori</t>
  </si>
  <si>
    <t>ยาตาน HIV ที่ผูปวยไดรับมีผลรบกวนยาแกปวดหัวไมเกรนยังไง</t>
  </si>
  <si>
    <t>ผู้ป่วยรายนี้ติดเชื้ออะไร</t>
  </si>
  <si>
    <t>Adeno virus</t>
  </si>
  <si>
    <t>Influenza virus</t>
  </si>
  <si>
    <t>Haemophilus influenza</t>
  </si>
  <si>
    <t>streptococcus pyrogenes</t>
  </si>
  <si>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</si>
  <si>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</si>
  <si>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ข้อ 37 (PLE_CC1_Key_Rx20_UBU.md)</t>
  </si>
  <si>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</si>
  <si>
    <t>1IRZE/5IR</t>
  </si>
  <si>
    <t>2IRZE/2IR</t>
  </si>
  <si>
    <t>2IRZE/4IR</t>
  </si>
  <si>
    <t>3IRZE/2IR</t>
  </si>
  <si>
    <t>3IRZE/3IR</t>
  </si>
  <si>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</si>
  <si>
    <t>Mock PLE-CC 1 ข้อ 95</t>
  </si>
  <si>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</si>
  <si>
    <t>หยุดยา Ethambutol (E) เพียงตัวเดียว</t>
  </si>
  <si>
    <t>หยุดยา Isoniazid (I) และ Rifampicin (R) แต่คง Pyrazinamide (Z) ไว้</t>
  </si>
  <si>
    <t>หยุดยาที่มีพิษต่อตับ (I, R, Z) ทันที รอระดับเอนไซม์ตับกลับมาปกติก่อนพิจารณาเริ่มยาใหม่</t>
  </si>
  <si>
    <t>หยุดยา I, R, Z รอระดับเอนไซม์กลับมาปกติแล้วเริ่มยาทุกตัวพร้อมกันในขนาดครึ่งหนึ่ง</t>
  </si>
  <si>
    <t>ใช้ยาต่อเนื่องได้ ไม่ต้องหยุดยาเนื่องจากเอนไซม์ตับยังไม่เกิน 5 เท่า</t>
  </si>
  <si>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</si>
  <si>
    <t>Mock PLE-CC 1 ข้อ 96</t>
  </si>
  <si>
    <t>ข้อใดถูกต้องเกี่ยวกับยา Rifampicin ในสูตรการรักษาวัณโรค</t>
  </si>
  <si>
    <t>ยานี้ออกฤทธิ์ยับยั้งการสังเคราะห์ DNA โดยตรง</t>
  </si>
  <si>
    <t>ยานี้ออกฤทธิ์ยับยั้งการสังเคราะห์เยื่อหุ้มเซลล์</t>
  </si>
  <si>
    <t>ยานี้ทำให้ปัสสาวะ น้ำตา และสารคัดหลั่งในร่างกายเปลี่ยนเป็นสีส้มแดง</t>
  </si>
  <si>
    <t>Product acetyl ของยานี้เป็นพิษต่อตับจากการทำงานของเอนไซม์ NAT2</t>
  </si>
  <si>
    <t>ยานี้เป็นเอนไซม์อินฮิบิเตอร์ที่ยับยั้งการทำงานของ CYP3A4 อย่างแรง</t>
  </si>
  <si>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</si>
  <si>
    <t>Mock PLE-CC 1 ข้อ 103</t>
  </si>
  <si>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</si>
  <si>
    <t>Dolutegravir (DTG)</t>
  </si>
  <si>
    <t>Lopinavir/Ritonavir (LPV/r)</t>
  </si>
  <si>
    <t>Etravirine (ETR)</t>
  </si>
  <si>
    <t>Emtricitabine (FTC)</t>
  </si>
  <si>
    <t>Enfuvirtide (T-20)</t>
  </si>
  <si>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</si>
  <si>
    <t>Infectious diseases</t>
  </si>
  <si>
    <t>PLE_CC1_2567_Key ข้อ 12</t>
  </si>
  <si>
    <t>ถ้าผู้ป่วยติดเชื้อในช่องท้อง (SBP) ยาใดที่ควรให้</t>
  </si>
  <si>
    <t>Imipenem</t>
  </si>
  <si>
    <t>Ceftazidime IV</t>
  </si>
  <si>
    <t>Cefotaxime IV</t>
  </si>
  <si>
    <t>Norfloxacin oral</t>
  </si>
  <si>
    <t>Amoxicillin/clavulanic IV</t>
  </si>
  <si>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</si>
  <si>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88 (PLE_CC1_2558_Key.md)</t>
  </si>
  <si>
    <t>เชื้อสาเหตุของ SBP คือข้อใด</t>
  </si>
  <si>
    <t>S. aureus</t>
  </si>
  <si>
    <t>S. pyogenes</t>
  </si>
  <si>
    <t>K. pneumoniea</t>
  </si>
  <si>
    <t>P. aeroginosa</t>
  </si>
  <si>
    <t>Proteus mirabilis</t>
  </si>
  <si>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</si>
  <si>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90 (PLE_CC1_2558_Key.md)</t>
  </si>
  <si>
    <t>ยาที่ออกฤทธิ์ต่อพยาธิ โดยการยับยั้งการสร้าง microtubule และมีผลยับยั้งการนำกลูโคสเข้าเซลล์ คือยา ในข้อใด</t>
  </si>
  <si>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</si>
  <si>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</si>
  <si>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กระบวนการเปลี่ยนแปลงตัวยาในกลุ่ม nitroimidazole ให้อยู่ในรูปที่ออกฤทธิ์ได้ในเชื้อโปรโตซัวเรียกว่า อะไร</t>
  </si>
  <si>
    <t>Nitro-Reduction</t>
  </si>
  <si>
    <t>Hydroxylation</t>
  </si>
  <si>
    <t>Demethylation</t>
  </si>
  <si>
    <t>Cyclization</t>
  </si>
  <si>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</si>
  <si>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43 (PLE_CC1_Practice_Exam.md)</t>
  </si>
  <si>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</si>
  <si>
    <t>แนะนำให้ผู้ป่วยหลีกเลี่ยงปัจจัยกระตุ้นให้เกิดการชัก</t>
  </si>
  <si>
    <t>สามารถรักษาโรคชักบางชนิดได้ด้วยการผ่าตัด</t>
  </si>
  <si>
    <t>ควรใช้ยากันชักเฉพาะช่วงที่ผู้ป่วยมีอาการชักเท่านั้น</t>
  </si>
  <si>
    <t>หากใช้ยากันชักชนิดเดียวไม่ได้ผล อาจจะพิจารณาเพิ่มยาตัวที่สอง</t>
  </si>
  <si>
    <t>หากยากันชักชนิดแรกไม่สามารถควบคุมอาการชักได้ ให้ใช้ยาตัวอื่นหรือใช้ยา 2 ชนิดร่วมกัน</t>
  </si>
  <si>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</si>
  <si>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ยากันชักข้อใดที่มีกลไกการออกฤทธิ์เหมือนกับ phenytoin sodium</t>
  </si>
  <si>
    <t>Ethosuximide</t>
  </si>
  <si>
    <t>Vigabatrin</t>
  </si>
  <si>
    <t>Carbamazepine</t>
  </si>
  <si>
    <t>Gabapentin</t>
  </si>
  <si>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</si>
  <si>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อาการไม่พึงประสงค์ในข้อใดที่สัมพันธ์กับระดับ phenytoin ในกระแสเลือดของผู้ป่วย</t>
  </si>
  <si>
    <t>Gingival hyperplasia</t>
  </si>
  <si>
    <t>Hepatitis</t>
  </si>
  <si>
    <t>Rash</t>
  </si>
  <si>
    <t>Ataxia</t>
  </si>
  <si>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</si>
  <si>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ยากันชักตัวใดมีผลเพิ่มระดับความเข้มข้นของยาซึ่งผ่านกระบวนการเมตาบอลิซึมจากเอนไซม์ตัวเดียวกัน</t>
  </si>
  <si>
    <t>Valproate</t>
  </si>
  <si>
    <t>Phenobarbital</t>
  </si>
  <si>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</si>
  <si>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4 Pharma Plus เล่มม่วง (เฉลยข้อ ข)</t>
  </si>
  <si>
    <t>ยาในข้อใดหากรับประทานพร้อมกับ phenytoin จะทำให้ phenytoin เพิ่มขึ้น</t>
  </si>
  <si>
    <t>Conjugated estrogen</t>
  </si>
  <si>
    <t>Thiazide</t>
  </si>
  <si>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</si>
  <si>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</si>
  <si>
    <t>Migraine headache</t>
  </si>
  <si>
    <t>Tension headache</t>
  </si>
  <si>
    <t>Cluster headache</t>
  </si>
  <si>
    <t>Trauma headache</t>
  </si>
  <si>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</si>
  <si>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</si>
  <si>
    <t>Methyl ergotamine</t>
  </si>
  <si>
    <t>Sumatriptan</t>
  </si>
  <si>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</si>
  <si>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</si>
  <si>
    <t>ขนาดเริ่มต้นคือ 1-2 เม็ด รับประทานเมื่อมีอาการ</t>
  </si>
  <si>
    <t>รับประทานยาซ้ำได้เมื่ออาการไม่ดีขึ้นภายใน 30 นาที</t>
  </si>
  <si>
    <t>ถ้ามีอาการชาที่ปลายมือปลายเท้าให้หยุดยา</t>
  </si>
  <si>
    <t>ไม่ควรรับประทานยาเกิน 6 เม็ด ต่อวัน</t>
  </si>
  <si>
    <t>ไม่มีข้อใดผิด</t>
  </si>
  <si>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</si>
  <si>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</si>
  <si>
    <t>Absorption</t>
  </si>
  <si>
    <t>Distribution</t>
  </si>
  <si>
    <t>Biotransformation</t>
  </si>
  <si>
    <t>Elimination</t>
  </si>
  <si>
    <t>Excretion</t>
  </si>
  <si>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</si>
  <si>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</si>
  <si>
    <t>ผู้ป่วยปวดศีรษะมากกว่า 2-3 ครั้ง/เดือน</t>
  </si>
  <si>
    <t>อาการปวดศีรษะค่อนข้างรุนแรง</t>
  </si>
  <si>
    <t>ผู้ป่วยมีอาการปวดนาน 12 ชม. และอายุที่เป็นครั้งแรกมากกว่า 55 ปี</t>
  </si>
  <si>
    <t>ผู้ป่วยทนต่ออาการไม่พึงประสงค์ของยาบรรเทาการปวดศีรษะไม่ได้</t>
  </si>
  <si>
    <t>ระยะเวลาที่จะมีอาการปวดศีรษะสามารถคาดการณ์ล่วงหน้าได้</t>
  </si>
  <si>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</si>
  <si>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</si>
  <si>
    <t>Ergotamine</t>
  </si>
  <si>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</si>
  <si>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11 Pharma Plus เล่มม่วง (เฉลยข้อ ง)</t>
  </si>
  <si>
    <t>การใช้ยาป้องกันอาการปวดศีรษะของผู้ป่วยรายนี้ ควรได้รับ</t>
  </si>
  <si>
    <t>อย่างน้อย 6 เดือน หลังจากการปวดศีรษะครั้งสุดท้าย</t>
  </si>
  <si>
    <t>อย่างน้อย 6 เดือน หลังจากความถี่และอาการปวดศีรษะลดลง</t>
  </si>
  <si>
    <t>กินยาต่อไปจนกว่าผู้ป่วยจะทนอาการไม่พึงประสงค์ไม่ได้</t>
  </si>
  <si>
    <t>กินยาเดือนเว้นเดือน จนกว่าจะไม่มีอาการ</t>
  </si>
  <si>
    <t>กินได้ตลอดไป</t>
  </si>
  <si>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</si>
  <si>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ยาในข้อใดไม่ควรใช้ป้องกันอาการปวดศีรษะในผู้ป่วยที่มีอาการ</t>
  </si>
  <si>
    <t>Fluoxetine</t>
  </si>
  <si>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</si>
  <si>
    <t>ข้อ 13 Pharma Plus เล่มม่วง (เฉลยข้อ ข ง)</t>
  </si>
  <si>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</si>
  <si>
    <t>Migraine with aura</t>
  </si>
  <si>
    <t>Migraine without aura</t>
  </si>
  <si>
    <t>Tension</t>
  </si>
  <si>
    <t>Cluster</t>
  </si>
  <si>
    <t>Traumatic</t>
  </si>
  <si>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</si>
  <si>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</si>
  <si>
    <t>เนื่องจากผู้ป่วยรายนี้มีอาการคลื่นไส้อาเจียนร่วมด้วย</t>
  </si>
  <si>
    <t>ป้องกันการเกิดอาการปวดศีรษะซ้ำ</t>
  </si>
  <si>
    <t>ลดผลข้างเคียงจากยา cafergot</t>
  </si>
  <si>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</si>
  <si>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Pain management</t>
  </si>
  <si>
    <t>ผู้ป่วยหญิงอายุ 35 ปี มาด้วยอาการปวดหัวข้างเดียวตุบๆ สู้แสงไม่ได้ เวียนศีรษะ คลื่นไส้อาเจียน
ยาที่ใช้เป็น prophylaxis ในผู้ป่วยรายนี้คือ</t>
  </si>
  <si>
    <t>Flunarizine</t>
  </si>
  <si>
    <t>Cafergot</t>
  </si>
  <si>
    <t>Nitrate</t>
  </si>
  <si>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</si>
  <si>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16 Pharma Plus เล่มม่วง (เฉลยข้อ ก)</t>
  </si>
  <si>
    <t>ยาใดต่อไปนี้ไม่จัดเป็นยาป้องกันการเกิดไมเกรน</t>
  </si>
  <si>
    <t>ทุกข้อเป็นยาป้องกันไมเกรน</t>
  </si>
  <si>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</si>
  <si>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Ergotamine มี side effect ต่าง ๆ ต่อไปนี้ ยกเว้น</t>
  </si>
  <si>
    <t>Weakness in legs</t>
  </si>
  <si>
    <t>Angina-like pain</t>
  </si>
  <si>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</si>
  <si>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ข้อความต่อไปนี้เกี่ยวกับ ergotamine ผิด</t>
  </si>
  <si>
    <t>เป็น drug of choice สำหรับระงับอาการ migraine attack</t>
  </si>
  <si>
    <t>ถ้าใช้ในขนาดที่มากเกินไปจะก่อให้เกิด gangrene ตามปลายนิ้วมือปลายเท้า</t>
  </si>
  <si>
    <t>ถ้าใช้ร่วมกับ selective serotonin receptor agonist เช่น sumatriptan จะให้ผลดียิ่งขึ้น</t>
  </si>
  <si>
    <t>ไม่ควรใช้ในสตรีมีครรภ์</t>
  </si>
  <si>
    <t>ใช้ไปนาน ๆ อาจติดยาได้ (physical dependence)</t>
  </si>
  <si>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</si>
  <si>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19 Pharma Plus เล่มม่วง (เฉลยข้อ ก ค)</t>
  </si>
  <si>
    <t>ข้อใดต่อไปนี้ไม่ใช่อาการของไมเกรน</t>
  </si>
  <si>
    <t>ปวดตามท้ายทอยร้าวไปกลางศีรษะหรือลักษณะคล้ายวิ่งจี๊ดไปมา</t>
  </si>
  <si>
    <t>ปวดศีรษะข้างเดียว ปวดตุบๆ</t>
  </si>
  <si>
    <t>ปวดตุบ ๆ สลับข้างหรือทั้ง 2 ข้าง และมักมีอาการคลื่นไส้อาเจียนร่วมด้วย</t>
  </si>
  <si>
    <t>ก่อนปวดศีรษะมีอาการเห็นภาพผิดปกติ (visual disturbance)</t>
  </si>
  <si>
    <t>ก่อนปวดศีรษะอาจมีอาการหงุดหงิด ทนแสงหรือเสียงดังไม่ได้</t>
  </si>
  <si>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</si>
  <si>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ผู้ป่วยไมเกรนควรหลีกเลี่ยงในการรับประทานสิ่งเหล่านี้ ยกเว้น</t>
  </si>
  <si>
    <t>เนยแข็ง</t>
  </si>
  <si>
    <t>ช็อกโกแลต</t>
  </si>
  <si>
    <t>ไวน์แดง</t>
  </si>
  <si>
    <t>เบียร์</t>
  </si>
  <si>
    <t>นม</t>
  </si>
  <si>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</si>
  <si>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21 Pharma Plus เล่มม่วง (เฉลยข้อ จ)</t>
  </si>
  <si>
    <t>Ergotamine มีฤทธิ์อย่างไร</t>
  </si>
  <si>
    <t>ลดการสร้าง prostaglandins</t>
  </si>
  <si>
    <t>ทำให้กล้ามเนื้อหลอดเลือดหดตัว</t>
  </si>
  <si>
    <t>ทำให้เลือดไปเลี้ยงสมองมากขึ้น</t>
  </si>
  <si>
    <t>ทำให้หลอดเลือดคลายตัว</t>
  </si>
  <si>
    <t>ทำให้กล้ามเนื้อคลายตัว</t>
  </si>
  <si>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</si>
  <si>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ผู้ป่วยหญิงอายุ 76 ปี เป็นโรคพาร์กินสัน แพทย์จ่ายยา 1 ตัว ได้แก่ L-dopa/Benserazide 25/100 mg
Benserazide ถูกเติมลงไปใน levodopa เพื่ออะไร</t>
  </si>
  <si>
    <t>เพิ่มอาการข้างเคียงที่จะเกิดที่ peripheral</t>
  </si>
  <si>
    <t>เสริมฤทธิ์กับ levodopa</t>
  </si>
  <si>
    <t>ช่วยทำให้มีปริมาณ levodopa ผ่านเข้าสมองมากขึ้น</t>
  </si>
  <si>
    <t>ช่วยพา levodopa ผ่าน blood brain barrier</t>
  </si>
  <si>
    <t>ยับยั้งการทำลาย levodopa ในสมอง</t>
  </si>
  <si>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</si>
  <si>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Parkinson disease</t>
  </si>
  <si>
    <t>ข้อ 23 Pharma Plus เล่มม่วง (เฉลยข้อ ข ค)</t>
  </si>
  <si>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</si>
  <si>
    <t>Pergolide</t>
  </si>
  <si>
    <t>Selegiline</t>
  </si>
  <si>
    <t>Carbidopa</t>
  </si>
  <si>
    <t>Trihexyphenidyl</t>
  </si>
  <si>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</si>
  <si>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ผู้ป่วยหญิงอายุ 76 ปี เป็นโรคพาร์กินสัน แพทย์จ่ายยา 1 ตัว ได้แก่ L-dopa/Benserazide 25/100 mg
ข้อใดคือผลข้างเคียงจากการใช้ยา levodopa</t>
  </si>
  <si>
    <t>ความดันต่ำขณะเปลี่ยนท่า</t>
  </si>
  <si>
    <t>มึนงง</t>
  </si>
  <si>
    <t>ชาตามปลายนิ้ว ปลายเท้า</t>
  </si>
  <si>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</si>
  <si>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25 Pharma Plus เล่มม่วง (เฉลยข้อ ก ง)</t>
  </si>
  <si>
    <t>หากระดับยา levodopa สูงเกินไป จะเกิดอาการใด</t>
  </si>
  <si>
    <t>Rigidity</t>
  </si>
  <si>
    <t>Dyskinesia</t>
  </si>
  <si>
    <t>Hallucination</t>
  </si>
  <si>
    <t>Somnolence</t>
  </si>
  <si>
    <t>Gynecomastia</t>
  </si>
  <si>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</si>
  <si>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26 Pharma Plus เล่มม่วง (เฉลยข้อ ข ค)</t>
  </si>
  <si>
    <t>ยาในข้อใดไม่ทำให้อาการความจำเสื่อมของผู้ป่วยโรคพาร์กินสันแย่ลง</t>
  </si>
  <si>
    <t>Benztropine</t>
  </si>
  <si>
    <t>Chlorpheniramine</t>
  </si>
  <si>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</si>
  <si>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Benserazide ยับยั้ง enzyme ในข้อใด</t>
  </si>
  <si>
    <t>MAOB</t>
  </si>
  <si>
    <t>COMT</t>
  </si>
  <si>
    <t>Acetylcholine esterase</t>
  </si>
  <si>
    <t>Dopa decarboxylase</t>
  </si>
  <si>
    <t>Dopa deaminase</t>
  </si>
  <si>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</si>
  <si>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</si>
  <si>
    <t>หลังจากเริ่มการรักษาผู้ป่วยได้ 3-5 ปี ผลการรักษาจะลดลง</t>
  </si>
  <si>
    <t>ผลการรักษาในแต่ละวันอาจไม่คงที่ (on-off phenomenon)</t>
  </si>
  <si>
    <t>ตัวรับ dopamine receptor ในสมองเกิด down regulation ลดจำนวนลง</t>
  </si>
  <si>
    <t>Levodopa ซึมผ่าน blood brain barrier เข้าสู่สมองได้ยากขึ้น</t>
  </si>
  <si>
    <t>อนุมูลอิสระที่เกิดจากการเมตาบอลิซึมของ levodopa จะทำให้เซลล์ประสาท dopaminergic ที่ nigrostriatal pathway</t>
  </si>
  <si>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</si>
  <si>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การใช้ carbidopa หรือ benserazide ร่วมกับ levodopa ในการรักษา Parkinson's disease มีจุดประสงค์เพื่อ</t>
  </si>
  <si>
    <t>กระตุ้นเอนไซม์ dopa decarboxylase ที่สมอง</t>
  </si>
  <si>
    <t>ยับยั้งการเปลี่ยนแปลง Levodopa เป็น dopamine ที่เนื้อเยื่อนอกสมอง</t>
  </si>
  <si>
    <t>เพิ่มการดูดซึมของ Levodopa จากทางเดินอาหาร</t>
  </si>
  <si>
    <t>ยับยั้งการขับถ่าย Levodopa ออกทางปัสสาวะ</t>
  </si>
  <si>
    <t>เพิ่มการซึมผ่านของ dopamine จากเลือดสู่สมอง</t>
  </si>
  <si>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</si>
  <si>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</si>
  <si>
    <t>ป้องกันการเกิดอนุมูลอิสระ ซึ่งมีพิษและเป็นผลพลอยได้จากการออกซิไดซ์ dopamine โดย MAO-B</t>
  </si>
  <si>
    <t>กระตุ้นการเจริญของ dopaminergic neurons ใน nigrostriatal pathway</t>
  </si>
  <si>
    <t>กระตุ้นการเจริญของ glial cells ในสมอง</t>
  </si>
  <si>
    <t>กระตุ้นการสังเคราะห์ nerve growth factor</t>
  </si>
  <si>
    <t>กระตุ้นการสังเคราะห์สารสื่อประสาท</t>
  </si>
  <si>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</si>
  <si>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สถานการณ์ที่ 5 ผู้ป่วยชาย อายุ 25 ปี
Dx. Tonic-clonic seizer (first diagnosis)
Rx. Carbamazepine BID 30 F/U 2 wk.
ผู้ป่วยไม่ควรได้รับคำแนะนำใด</t>
  </si>
  <si>
    <t>แนะนำคุมกำเนิด</t>
  </si>
  <si>
    <t>ถ้าใช้ยาแล้วเป็นไข้ เจ็บคอ ให้รีบแจ้งแพทย์</t>
  </si>
  <si>
    <t>ใช้ยาแล้วหลีกเลี่ยงการสัมผัสแสงแดด</t>
  </si>
  <si>
    <t>ใช้ยานี้แล้วสีเล็บและสีผิวจะเปลี่ยน</t>
  </si>
  <si>
    <t>ควรหลีกเลี่ยงการซื้อยามารับประทานเอง</t>
  </si>
  <si>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</si>
  <si>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สถานการณ์ที่ 5 ผู้ป่วยชาย อายุ 25 ปี
Dx. Tonic-clonic seizer (first diagnosis)
Rx. Carbamazepine BID 30 F/U 2 wk.
ระดับยา carbamazepine สามารถเพิ่มได้เมื่อใช้ร่วมกับยาใด</t>
  </si>
  <si>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</si>
  <si>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ข้อใดคือกลไกการออกฤทธิ์ของ carbamazepine</t>
  </si>
  <si>
    <t>จับกับ sodium channel ที่อยู่ใน inactivated state</t>
  </si>
  <si>
    <t>จับกับ T-type calcium channel</t>
  </si>
  <si>
    <t>ออกฤทธิ์ต่อ GABA receptor/ chloride-ion pore complex</t>
  </si>
  <si>
    <t>ออกฤทธิ์ที่ NMDA receptor</t>
  </si>
  <si>
    <t>ออกฤทธิ์ยับยั้ง second messengers</t>
  </si>
  <si>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</si>
  <si>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โรคลมชักมีสาเหตุจากทุกข้อ ยกเว้นข้อใด</t>
  </si>
  <si>
    <t>อุบัติเหตุทางสมอง</t>
  </si>
  <si>
    <t>การติดเชื้อในหูชั้นกลาง</t>
  </si>
  <si>
    <t>เนื้องอกในสมอง</t>
  </si>
  <si>
    <t>ไข้สูงในเด็ก</t>
  </si>
  <si>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</si>
  <si>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35 Pharma Plus เล่มม่วง (เฉลยข้อ ข)</t>
  </si>
  <si>
    <t>ข้อใดคือข้อบ่งใช้ของ carbamazepine นอกเหนือจากรักษาโรคลมชัก</t>
  </si>
  <si>
    <t>Anxiety</t>
  </si>
  <si>
    <t>Muscle relaxant</t>
  </si>
  <si>
    <t>Trigeminal neuralgia</t>
  </si>
  <si>
    <t>Anti-arrhythmia</t>
  </si>
  <si>
    <t>Febrile Seizure</t>
  </si>
  <si>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</si>
  <si>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 36 Pharma Plus เล่มม่วง (เฉลยข้อ ค)</t>
  </si>
  <si>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</si>
  <si>
    <t>ซักประวัติเพิ่มเติมพบว่า ผู้ป่วยมีแนวโน้มเครียดง่ายจากการทำงาน จึงให้ยาคลายกังวลและนัดพบในอีก 1 เดือน</t>
  </si>
  <si>
    <t>ซักประวัติเพิ่มเติมพบว่ามีสุขภาพอ่อนแอ จึงให้่าวิตามินและนัดมาพบในอีก 1 สัปดาห์</t>
  </si>
  <si>
    <t>ให้ยาคลายกล้ามเนื้อเพื่อป้องกันอาการชักเกร็งระหว่างหมดสติ</t>
  </si>
  <si>
    <t>ซักประวัติเพิ่มเติมพบว่ามีสุขภาพอ่อนแอ จึงแนะนำให้พักผ่อนให้เพียงพอ</t>
  </si>
  <si>
    <t>ซักประวัติเพิ่มเติมและแนะนำให้ไปพบแพทย์</t>
  </si>
  <si>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</si>
  <si>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37 Pharma Plus เล่มม่วง (เฉลยข้อ จ)</t>
  </si>
  <si>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</si>
  <si>
    <t>Block PTP (post tetanic potentiation)</t>
  </si>
  <si>
    <t>Decrease post-synaptic excitation</t>
  </si>
  <si>
    <t>Increase GABA activity</t>
  </si>
  <si>
    <t>Decrease excitatory neurotransmitter</t>
  </si>
  <si>
    <t>Inhibit protein kinase-C</t>
  </si>
  <si>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</si>
  <si>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38 Pharma Plus เล่มม่วง (เฉลยข้อ ข ง)</t>
  </si>
  <si>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</si>
  <si>
    <t>รับประทานยานี้หลังอาหารทันที</t>
  </si>
  <si>
    <t>ดื่มน้ำมาก ๆ หลังรับประทานยา</t>
  </si>
  <si>
    <t>เมื่ออาการดีขึ้นสามารถปรับลดขนาดยาได้</t>
  </si>
  <si>
    <t>ห้ามรับประทานพร้อมนม</t>
  </si>
  <si>
    <t>กินยาติดต่อกันเป็นประจำทุกวัน</t>
  </si>
  <si>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</si>
  <si>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39 Pharma Plus เล่มม่วง (เฉลยข้อ จ)</t>
  </si>
  <si>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</si>
  <si>
    <t>ค่าครึ่งชีวิตของ phenytoin ยาว</t>
  </si>
  <si>
    <t>Phenytoin ถูกกำจัดทางไตน้อยกว่า 5%</t>
  </si>
  <si>
    <t>เภสัชจลนศาสตร์ของยาเป็นแบบไม่เป็นเส้นตรง</t>
  </si>
  <si>
    <t>ยามีผลต่อเอนไซม์ Cytochrome P450 system</t>
  </si>
  <si>
    <t>Phenytoin ไม่เกิด first pass metabolism</t>
  </si>
  <si>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</si>
  <si>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40 Pharma Plus เล่มม่วง (เฉลยข้อ ก)</t>
  </si>
  <si>
    <t>เภสัชจลนศาสตร์ของ phenytoin ที่เป็นแบบไม่เป็นเส้นตรง (non-linear pharmacokinetic) หมายความว่าอย่างไร</t>
  </si>
  <si>
    <t>หาก plot graph ระหว่างขนาดยาและความเข้มข้นไม่มีส่วนที่เป็นเส้นตรง</t>
  </si>
  <si>
    <t>ยาถูกกำจัดจากร่างกายได้หลายกลไก</t>
  </si>
  <si>
    <t>ขนาดยาที่สูงขึ้น จะได้ฤทธิ์ยาเพิ่มขึ้นน้อยกว่าที่ควรจะเป็น</t>
  </si>
  <si>
    <t>ความเข้มข้นของยาในกระแสเลือดที่เพิ่มขึ้นไม่เป็นสัดส่วนโดยตรงกับขนาดยา</t>
  </si>
  <si>
    <t>เมื่อขนาดยาที่สูงขึ้น ณ จุดหนึ่ง ความสัมพันธ์ของขนาดยาและความเข้มข้นในกระแสเลือดจะเป็นสัดส่วนผกผัน</t>
  </si>
  <si>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</si>
  <si>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ข้อใดเป็นผลข้างเคียงจากการใช้ phenytoin ติดต่อกันเป็นระยะเวลานาน</t>
  </si>
  <si>
    <t>Mental retardation</t>
  </si>
  <si>
    <t>Blurred vision</t>
  </si>
  <si>
    <t>Hyperactivity</t>
  </si>
  <si>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</si>
  <si>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42 Pharma Plus เล่มม่วง (เฉลยข้อ ก)</t>
  </si>
  <si>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</si>
  <si>
    <t>ควรตรวจสอบอาการเดินเซ (ataxia) ร่วมด้วย</t>
  </si>
  <si>
    <t>สอบถามประวัติการใช้ยาของผู้ป่วย</t>
  </si>
  <si>
    <t>ตรวจวัดระดับยาในเลือด</t>
  </si>
  <si>
    <t>ใช้ diazepam เพื่อควบคุมอาการ nystagmus ก่อนให้การรักษาต่อไป</t>
  </si>
  <si>
    <t>ผู้ป่วยควรหยุดยา phenytoin และรอดูอาการ</t>
  </si>
  <si>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</si>
  <si>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43 Pharma Plus เล่มม่วง (เฉลยข้อ ง จ)</t>
  </si>
  <si>
    <t>ข้อใดไม่ถูกต้องเกี่ยวกับหลักการใช้ยากันชัก</t>
  </si>
  <si>
    <t>ควรเริ่มต้นการรักษาด้วยยาทีละตัว (monotherapy)</t>
  </si>
  <si>
    <t>ควรเริ่มต้นด้วยขนาดยาต่ำ ๆ แล้วจึงเพิ่มขนาดยาขึ้น</t>
  </si>
  <si>
    <t>การตรวจวัดระดับยาในเลือดอาจไม่จำเป็นในทางปฏิบัติ</t>
  </si>
  <si>
    <t>ขนาดของยาไม่จำเป็นต้องเท่ากัน (fixed dose) ในผู้ป่วยทุกราย</t>
  </si>
  <si>
    <t>ควรเลือกยากันชักชนิดใหม่เช่น gabapentin เป็นอันดับแรกในการรักษาเนื่องจากมีประสิทธิภาพสูง</t>
  </si>
  <si>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</si>
  <si>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44 Pharma Plus เล่มม่วง (เฉลยข้อ จ)</t>
  </si>
  <si>
    <t>ข้อใดต่อไปนี้คืออาการข้างเคียงที่จะเกิดจากการได้รับยา phenytoin</t>
  </si>
  <si>
    <t>Gum hyperplasia</t>
  </si>
  <si>
    <t>Dry mouth</t>
  </si>
  <si>
    <t>Gastric irritation</t>
  </si>
  <si>
    <t>Hair loss</t>
  </si>
  <si>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</si>
  <si>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กลไกการออกฤทธิ์ของ phenobarbital คือข้อใด</t>
  </si>
  <si>
    <t>กระตุ้น Glutamate neurotransmission</t>
  </si>
  <si>
    <t>กระตุ้น GABA neurotransmission</t>
  </si>
  <si>
    <t>กระตุ้น Serotonin neurotransmission</t>
  </si>
  <si>
    <t>ยับยั้ง Dopamine neurotransmission</t>
  </si>
  <si>
    <t>ยับยั้ง Norepinephrine neurotransmission</t>
  </si>
  <si>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</si>
  <si>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Phenobarbital ให้ผลการรักษา epilepsy ชนิดใดได้ดีที่สุด</t>
  </si>
  <si>
    <t>Generalized tonic-clonic (Grand mal) seizure</t>
  </si>
  <si>
    <t>Absence (Petit mal) seizure</t>
  </si>
  <si>
    <t>Atonic seizure</t>
  </si>
  <si>
    <t>Clonic and myoclonic seizure</t>
  </si>
  <si>
    <t>Tonic seizure</t>
  </si>
  <si>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</si>
  <si>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47 Pharma Plus เล่มม่วง (เฉลยข้อ ก)</t>
  </si>
  <si>
    <t>Lorazepam มีฤทธิ์ต่าง ๆ ต่อไปนี้ ยกเว้น</t>
  </si>
  <si>
    <t>Hypnotic effect</t>
  </si>
  <si>
    <t>Muscle-relaxing effect</t>
  </si>
  <si>
    <t>Anticonvulsant effect</t>
  </si>
  <si>
    <t>Antianxiety effect</t>
  </si>
  <si>
    <t>Antidepressant effect</t>
  </si>
  <si>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</si>
  <si>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ข้อความต่อไปนี้ เกี่ยวกับ lorazepam ผิด</t>
  </si>
  <si>
    <t>ออกฤทธิ์โดยการกระตุ้น GABA neurotransmission</t>
  </si>
  <si>
    <t>Overdose ของ lorazepam สามารถใช้ flumazenil ซึ่งเป็น antidote รักษาได้</t>
  </si>
  <si>
    <t>ถ้าใช้เป็นระยะเวลานานแล้วหยุดยา จะก่อให้เกิด withdrawal symptoms ได้</t>
  </si>
  <si>
    <t>เป็น hepatic drug-metabolizing enzyme inducer</t>
  </si>
  <si>
    <t>ไม่ก่อให้เกิด hang over effect เหมือน diazepam</t>
  </si>
  <si>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</si>
  <si>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</si>
  <si>
    <t>Noradrenergic neurons จาก locus ceruleus ไปยัง cerebral cortex</t>
  </si>
  <si>
    <t>Serotoninergic neurons จาก raphe nucleus ไปยัง cerebral cortex</t>
  </si>
  <si>
    <t>Cholinergic neurons จาก septum ไปยัง hippocampus</t>
  </si>
  <si>
    <t>Dopaminergic neurons จาก midbrain ไปยัง limbic system</t>
  </si>
  <si>
    <t>GABAergic neurons จาก striatum ไปยัง substantial nigra</t>
  </si>
  <si>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</si>
  <si>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Dementia, Alzheimer's</t>
  </si>
  <si>
    <t>พยาธิสภาพที่พบในสมองของผู้ป่วย Alzheimer's disease นั้น ได้แก่ลักษณะดังต่อไปนี้</t>
  </si>
  <si>
    <t>ปริมาณ choline ในสมองมากกว่าปกติ</t>
  </si>
  <si>
    <t>เนื้อสมองมี neurofibrillary tangles และ senile plaque มากกว่าปกติ</t>
  </si>
  <si>
    <t>มี enzyme choline acetyltransferase มากกว่าปกติ</t>
  </si>
  <si>
    <t>สมองมีขนาดใหญ่กว่าปกติ</t>
  </si>
  <si>
    <t>มีปริมาณ enzyme Monoamine oxidase ในสมองมากกว่าปกติ</t>
  </si>
  <si>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</si>
  <si>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</si>
  <si>
    <t>Cholinergic antagonists</t>
  </si>
  <si>
    <t>Acetylcholine esterase inhibitors</t>
  </si>
  <si>
    <t>Estrogen hormone</t>
  </si>
  <si>
    <t>Acetylcholine precursors</t>
  </si>
  <si>
    <t>NSAID (Non-Steroidal Anti-inflammatory Drugs)</t>
  </si>
  <si>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</si>
  <si>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</si>
  <si>
    <t>Galantamine</t>
  </si>
  <si>
    <t>Tacrine</t>
  </si>
  <si>
    <t>Donepezil</t>
  </si>
  <si>
    <t>Rivastigmine</t>
  </si>
  <si>
    <t>ทุกตัวในข้อ ก ถึง ง</t>
  </si>
  <si>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</si>
  <si>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53 Pharma Plus เล่มม่วง (เฉลยข้อ ข)</t>
  </si>
  <si>
    <t>ยาใดต่อไปนี้เป็นยารักษาโรคอัลไซเมอร์ ระดับ severe ได้</t>
  </si>
  <si>
    <t>Memantine</t>
  </si>
  <si>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</si>
  <si>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54 Pharma Plus เล่มม่วง (เฉลยข้อ ก จ)</t>
  </si>
  <si>
    <t>“Plaques protein” ต้นเหตุของโรคอัลไซเมอร์เกิดจากทำลายโปรตีนใดผิดปกติไป</t>
  </si>
  <si>
    <t>β - Amyloid protein</t>
  </si>
  <si>
    <t>Intracellular Neurofibrillary Tangles (NFTs)</t>
  </si>
  <si>
    <t>Tau protein</t>
  </si>
  <si>
    <t>Myelin</t>
  </si>
  <si>
    <t>N-acetylgalactosamine-4-sulfatase</t>
  </si>
  <si>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</si>
  <si>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ข้อใดไม่ใช่กลไกการเกิดโรคอัลไซเมอร์</t>
  </si>
  <si>
    <t>ขาด serotonin และ dopamine ทำให้ behavioral disturbances</t>
  </si>
  <si>
    <t>ขาด Acetylcholine ทำให้ memory loss</t>
  </si>
  <si>
    <t>Glutamate มีน้อยเกินไปโดยหลั่งจากการกระตุ้น receptor ด้วย แคลเซียม</t>
  </si>
  <si>
    <t>การทำงานของ monoamine oxidase type B เพิ่มขึ้น</t>
  </si>
  <si>
    <t>เกิดการสะสมของ plaques และ tangles protein</t>
  </si>
  <si>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</si>
  <si>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56 Pharma Plus เล่มม่วง (เฉลยข้อ ก ค)</t>
  </si>
  <si>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</si>
  <si>
    <t>Reserpine</t>
  </si>
  <si>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</si>
  <si>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ยา benserazide ที่ผู้ป่วยได้รับ ออกฤทธิ์ยับยั้งที่ enzyme ใด</t>
  </si>
  <si>
    <t>Monoamine oxidase-A</t>
  </si>
  <si>
    <t>Monoamine oxidase-B</t>
  </si>
  <si>
    <t>Catechol-O-methyltransferase</t>
  </si>
  <si>
    <t>Acetyltransferase</t>
  </si>
  <si>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</si>
  <si>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 selegiline ที่ผู้ป่วยได้รับ มีกลไกการออกฤทธิ์อย่างไร</t>
  </si>
  <si>
    <t>Dopamine reuptake inhibitor</t>
  </si>
  <si>
    <t>NMDA receptor antagonist</t>
  </si>
  <si>
    <t>Catechol-O-methyltransferase inhibitor</t>
  </si>
  <si>
    <t>Dopa decarboxylase inhibitor</t>
  </si>
  <si>
    <t>Monoamine oxidase-B inhibitor</t>
  </si>
  <si>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</si>
  <si>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ข้อ 59 Pharma Plus เล่มม่วง (เฉลยข้อ จ)</t>
  </si>
  <si>
    <t>ยาชนิดใดห้ามใช้ร่วมกับ selegiline</t>
  </si>
  <si>
    <t>Pindolol</t>
  </si>
  <si>
    <t>Pentamidine</t>
  </si>
  <si>
    <t>Pentoxifylline</t>
  </si>
  <si>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</si>
  <si>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ถ้าช่วงนี้ผู้ป่วยเริ่มมีปัญหาการเกิดอาการของ dyskinesia ควรจะแก้ไขอย่างไร</t>
  </si>
  <si>
    <t>หยุดยา selegiline</t>
  </si>
  <si>
    <t>ให้ bromocriptine</t>
  </si>
  <si>
    <t>ลดขนาดยา benserazide</t>
  </si>
  <si>
    <t>หยุดยา selegiline และให้ bromocriptine</t>
  </si>
  <si>
    <t>หยุดยา selegiline ร่วมกับการลดขนาดยา benserazide และให้ bromocriptine</t>
  </si>
  <si>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</si>
  <si>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61 Pharma Plus เล่มม่วง (เฉลยข้อ )</t>
  </si>
  <si>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</si>
  <si>
    <t>เขียนฉลากตัวบรรจงให้ผู้ป่วยอ่าน</t>
  </si>
  <si>
    <t>จัด pillbox ตามวันให้ผู้ป่วย และสอนให้ผู้ป่วยทำให้ตัวเองในวันถัดไป</t>
  </si>
  <si>
    <t>อ่านฉลากให้ผู้ป่วยฟังอย่างละเอียด ให้ผู้ป่วยซักถามเพิ่มเติม</t>
  </si>
  <si>
    <t>บอกให้ผู้ป่วยหาคนมาดูแลเรื่องยา</t>
  </si>
  <si>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</si>
  <si>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</si>
  <si>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Headache &amp; Migraine</t>
  </si>
  <si>
    <t>Mock PLE-CC 1 ข้อ 107</t>
  </si>
  <si>
    <t>อาการของผู้ป่วยรายนี้ถือว่าเป็นการปวดหัวแบบใด</t>
  </si>
  <si>
    <t>Tension-type headache</t>
  </si>
  <si>
    <t>Sinusitis headache</t>
  </si>
  <si>
    <t>Thunderclap headache</t>
  </si>
  <si>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</si>
  <si>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108</t>
  </si>
  <si>
    <t>ให้บอกแผนการรักษาที่เหมาะสมกับผู้ป่วยรายนี้</t>
  </si>
  <si>
    <t>Eleptriptan</t>
  </si>
  <si>
    <t>Nortriptyline</t>
  </si>
  <si>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</si>
  <si>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109</t>
  </si>
  <si>
    <t>ผู้ป่วยรายนี้ไม่ควรได้รับยาป้องกันไมเกรนในข้อใด เพราะจะทำให้อาการของโรคซึมเศร้าแย่ลง</t>
  </si>
  <si>
    <t>Topiramate</t>
  </si>
  <si>
    <t>Vitamin B6</t>
  </si>
  <si>
    <t>amitriptyline</t>
  </si>
  <si>
    <t>flunarizine</t>
  </si>
  <si>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</si>
  <si>
    <t>Mock PLE-CC 1 ข้อ 110</t>
  </si>
  <si>
    <t>ผู้ป่วยที่ใช้ NSAIDS (เช่น naproxen) ในการรักษาไมเกรนบ่อยเกินไป อาจทำให้เกิดภาวะใด</t>
  </si>
  <si>
    <t>rebound hypertension</t>
  </si>
  <si>
    <t>Medication overuse headache</t>
  </si>
  <si>
    <t>Serotonin syndrome</t>
  </si>
  <si>
    <t>orthostatic hypotension</t>
  </si>
  <si>
    <t>parkinsonism</t>
  </si>
  <si>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</si>
  <si>
    <t>Mock PLE-CC 1 ข้อ 112</t>
  </si>
  <si>
    <t>ยากันชักที่ใช้ในคนตั้งครรภ์. ตัวเลือก</t>
  </si>
  <si>
    <t>Neurologic Disorder</t>
  </si>
  <si>
    <t>Levodopa/Benserazide 100/25 mg TID</t>
  </si>
  <si>
    <t>Sumatriptan 50 mg stat</t>
  </si>
  <si>
    <t>Propranolol 40 mg BID</t>
  </si>
  <si>
    <t>Topiramate 25 mg BID</t>
  </si>
  <si>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</si>
  <si>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PLE-CC1 ปี 2566 Day 1 ข้อ 6</t>
  </si>
  <si>
    <t>sodium valproate</t>
  </si>
  <si>
    <t>Donepezil 5 mg HS</t>
  </si>
  <si>
    <t>Alteplase (rtPA) 0.9 mg/kg IV</t>
  </si>
  <si>
    <t>Phenytoin 100 mg TID</t>
  </si>
  <si>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</si>
  <si>
    <t>PLE-CC1 ปี 2566 Day 1 ข้อ 3</t>
  </si>
  <si>
    <t>Mechanism ของphenytoin . ตัวเลือก</t>
  </si>
  <si>
    <t>Sodium valproate 200 mg TID</t>
  </si>
  <si>
    <t>Carbamazepine 200 mg BID</t>
  </si>
  <si>
    <t>Lamotrigine 50 mg OD</t>
  </si>
  <si>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</si>
  <si>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PLE-CC1 ปี 2566 Day 1 ข้อ 7</t>
  </si>
  <si>
    <t>Non linear pharmacokinetics ของphenytoin . ตัวเลือก</t>
  </si>
  <si>
    <t>Levetiracetam 500 mg BID</t>
  </si>
  <si>
    <t>Gabapentin 300 mg TID</t>
  </si>
  <si>
    <t>Pregabalin 75 mg BID</t>
  </si>
  <si>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</si>
  <si>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PLE-CC1 ปี 2566 Day 1 ข้อ 8</t>
  </si>
  <si>
    <t>พิษของphenytoin ตัวเลือก</t>
  </si>
  <si>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</si>
  <si>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PLE-CC1 ปี 2566 Day 1 ข้อ 31</t>
  </si>
  <si>
    <t>Prophylaxis migraine มีประวัติเศร้าหม่นควรใช้ยาอะไร. ตัวเลือก</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</si>
  <si>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</si>
  <si>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PLE-CC1 ปี 2566 Day 2 ข้อ 19</t>
  </si>
  <si>
    <t>Migraine headaches</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</si>
  <si>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</si>
  <si>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Tension headaches</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</si>
  <si>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</si>
  <si>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Cluster headaches</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</si>
  <si>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</si>
  <si>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PLE-CC1 ปี 2566 Day 2 ข้อ 3</t>
  </si>
  <si>
    <t>Secondary headaches</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</si>
  <si>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</si>
  <si>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สาเหตุที่ควรprophylaxis migraine. ตัวเลือก</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</si>
  <si>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</si>
  <si>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PLE-CC1 ปี 2566 Day 2 ข้อ 21</t>
  </si>
  <si>
    <t>.การศึกษาMeta-analysis ว่าการใช้propranololสามารถป้องกันการเกิดไมเกรนได้หรือไม่ข้อใดถูกต้อง ตัวเลือก</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</si>
  <si>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</si>
  <si>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PLE-CC1 ปี 2566 Day 2 ข้อ 85</t>
  </si>
  <si>
    <t>ISDN Sublingual ไม;ตองทดสอบเรื่องอะไร 120-130 / 70-79 mmHg (Thai guideline on the treatment of hypertension 2015)</t>
  </si>
  <si>
    <t>friability</t>
  </si>
  <si>
    <t>Disintegration</t>
  </si>
  <si>
    <t>Dissolution time</t>
  </si>
  <si>
    <t>Thickness</t>
  </si>
  <si>
    <t>Content uniformity ยาเ,น@ปแบบอมใCDน จะเ.ด disintegration แGวเIาJKางกายไLโดยไ"เ.ดการละลาย 0งไ"Oเ,นCองทดสอบการละลาย</t>
  </si>
  <si>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</si>
  <si>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PLE_CC1_2565_Day1_Key ข้อ 4</t>
  </si>
  <si>
    <t>หากแพทย6เลือกใช$ topiramate เพื่อป¢องกันการปวดศีรษะจากไมเกรน ข$อใดถูกต$องเกี่ยวกับยานี้ ไWแcใจ</t>
  </si>
  <si>
    <t>มีโอกาสเกิด cross allergy กับ cotrimoxazole ได$สูงมาก</t>
  </si>
  <si>
    <t>ค-อยๆ ปรับเพิ่มขนาดยาจนถึง target dose หรือจนกว-าจะทนผลข$างเคียงยาไม-ได$</t>
  </si>
  <si>
    <t>ใช$เวลา 2-4 สัปดาห6จึงจะเห็นผลการรักษา</t>
  </si>
  <si>
    <t>ต$องใช$ยาอย-างน$อย 6 เดือน</t>
  </si>
  <si>
    <t>ใช$ Maintain dose น$อยกว-าการให$เพื่อรักษาอาการชัก กรณีศึกษา 7</t>
  </si>
  <si>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</si>
  <si>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PLE_CC1_2565_Day2_Key ข้อ 19</t>
  </si>
  <si>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</si>
  <si>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</si>
  <si>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Stroke</t>
  </si>
  <si>
    <t>PLE_CC1_2564_All_Key ข้อ 25</t>
  </si>
  <si>
    <t>บอกอาการมา (หัวข้อ migraine) ถามจ่ายยาอะไรบรรเทาอาการดี</t>
  </si>
  <si>
    <t>gabapentin</t>
  </si>
  <si>
    <t>sumatriptan" "โจทย์ไม่สมบูรณ์ O O</t>
  </si>
  <si>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</si>
  <si>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PLE_CC1_2564_All_Key ข้อ 50</t>
  </si>
  <si>
    <t>อาการข้างเคียงใด ไม่ขึ้นกับระดับยา carbamazepine</t>
  </si>
  <si>
    <t>Diplopia</t>
  </si>
  <si>
    <t>Maculopapular eruption</t>
  </si>
  <si>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</si>
  <si>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หัวข้อใดของ carbamazepine CR ที่ไม่จำเป็นต้องตรวจตามเภสัชตำรับ controlled release</t>
  </si>
  <si>
    <t>Dissolution</t>
  </si>
  <si>
    <t>Content uniformity/weight variation</t>
  </si>
  <si>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</si>
  <si>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 104 (PLE_CC1_2562_Key.md)</t>
  </si>
  <si>
    <t>ยาใดที่ใช้ร่วมกับ fluoxetine แล้วมีผลต่อการเกิด serotonin syndrome น้อยที่สุด ~ cosiziene seats - Trendlies . -X T ↓jon ending orthostatic hypotension ~ ~ serotonin</t>
  </si>
  <si>
    <t>Agomelatine</t>
  </si>
  <si>
    <t>Haloperidol</t>
  </si>
  <si>
    <t>Olanzapine</t>
  </si>
  <si>
    <t>Hydroxyzine Liverse ↓ lastanerce serotonin der soos ston Parilara serotonin syndrome snasin DI rileserotonin Jessost หË´มนาÆปทาซËาทืกกรณิ ÂวËนาต้จ²ÆดËรงบ¯นืญ´ต</t>
  </si>
  <si>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</si>
  <si>
    <t>ข้อ 6 (PLE_CC1_2562_Key.md)</t>
  </si>
  <si>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</si>
  <si>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</si>
  <si>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29 (PLE_CC1_2559.md)</t>
  </si>
  <si>
    <t>Phenytoin SR มีส่วนผสมคือ phenytoin, lactose, magnesium, sugar แต่การทดสอบพบว่ามีปริมาณตัวยาใน แต่ละเม็ดไม่สม่้าเสมอ ควรเติมสารช่วยอะไร</t>
  </si>
  <si>
    <t>Silicon dioxide</t>
  </si>
  <si>
    <t>Microcrystalline cellulose</t>
  </si>
  <si>
    <t>Starch</t>
  </si>
  <si>
    <t>Gelatin</t>
  </si>
  <si>
    <t>Polyvinyl pyrrolidone ห้ามนำไปทำซ้ำทุกกรณี เว้นแต่จะได้รับอนุญาต พบ hepatitis b virus negative และ anti-HBs positive</t>
  </si>
  <si>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</si>
  <si>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32 (PLE_CC1_2559.md)</t>
  </si>
  <si>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</si>
  <si>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</si>
  <si>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46 (PLE_CC1_2559.md)</t>
  </si>
  <si>
    <t>ผลการวิเคราะห์ใดเหมาะสำหรับการระบุเอกลักษณ์ของยา phenytoin</t>
  </si>
  <si>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</si>
  <si>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95 (Pharmtutor_2024_Set1.md)</t>
  </si>
  <si>
    <t>ยากันชักชนิดใด สามารถใช้ได้อย่างปลอดภัยในหญิงตั้งครรภ์</t>
  </si>
  <si>
    <t>Phenytoin Sodium</t>
  </si>
  <si>
    <t>Levetiracetam</t>
  </si>
  <si>
    <t>Valproic acid</t>
  </si>
  <si>
    <t>Lacosamide</t>
  </si>
  <si>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</si>
  <si>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46 (Pharmtutor_2024_Set2.md)</t>
  </si>
  <si>
    <t>ข้อใดคือกลไกของ Phenytoin Sodium ที่นำมาใช้ในการรักษาและป้องกันผู้ป่วยที่มีภาวะชักเกิดขึ้น</t>
  </si>
  <si>
    <t>ยับยั้งการเปิดปิดของช่องเปิดแคลเซียม</t>
  </si>
  <si>
    <t>ยับยั้งการเข้าออกออกแคลเซียม</t>
  </si>
  <si>
    <t>ยับยั้งการเข้าออกของโซเดียมและแคลเซียมที่จุดว่างของสารสื่อประสาท</t>
  </si>
  <si>
    <t>ยับยั้งการเข้าสู่เซลล์ของโซเดียมผ่านช่องทางแคลเซียม-โซเดียม</t>
  </si>
  <si>
    <t>ยับยั้งการเปิดปิดของช่องเปิดโซเดียม</t>
  </si>
  <si>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</si>
  <si>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47 (Pharmtutor_2024_Set2.md)</t>
  </si>
  <si>
    <t>ยากันชักในข้อใดสามารถนำมาช่วยบรรเทาอาการปวดบริเวณปลายประสาทได้ และสามารถรักษาได้หายอย่างมีนัยสำคัญ</t>
  </si>
  <si>
    <t>Lamotrigine</t>
  </si>
  <si>
    <t>Oxcarbazepine</t>
  </si>
  <si>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</si>
  <si>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ข้อ 51 (Pharmtutor_2024_Set2.md)</t>
  </si>
  <si>
    <t>จากคุณสมบัติของยา phenytoin ที่มีการกำจัดออกแบบ non-linear kinetics ข้อใดถูกต้อง</t>
  </si>
  <si>
    <t>ที่ความเข้มข้นสูง จะมีการกำจัดออกแบบ linear kinetics</t>
  </si>
  <si>
    <t>ที่ความเข้มข้นต่ำ จะมีการกำจัดออกแบบ non-linear kinetics</t>
  </si>
  <si>
    <t>ยามีค่าครึ่งชีวิตเท่าเดิมเสมอ แม้มีความเข้มข้นของยาเพิ่มมากขึ้น</t>
  </si>
  <si>
    <t>ยามี therapeutic index แคบ</t>
  </si>
  <si>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</si>
  <si>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87 (Pharmtutor_2024_Set2.md)</t>
  </si>
  <si>
    <t>ข้อใดไม่ใช่อาการแสดงของผู้ป่วย Parkinson’s disease (1) Hypertension (2) Resting tremor (3) Impaired balance (4) Slowness of movement (5) Stiffness to limb movement MCQ 11 | 1/2557 | Page 11</t>
  </si>
  <si>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</si>
  <si>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73 (PLE_CC1_2557.md)</t>
  </si>
  <si>
    <t>ข้อใดเป็นข้อบ่งใช้อื่นของยา Carbamazepine นอกจากเป็นยากันชัก</t>
  </si>
  <si>
    <t>........</t>
  </si>
  <si>
    <t>.......</t>
  </si>
  <si>
    <t>Trigerminal neuralgia</t>
  </si>
  <si>
    <t>............</t>
  </si>
  <si>
    <t>...............</t>
  </si>
  <si>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</si>
  <si>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 83 (PLE_CC1_2555 Day 1.md)</t>
  </si>
  <si>
    <t>ยาในข้อใดสามารถเพิ่มระดับยา Carbamazepine ได้</t>
  </si>
  <si>
    <t>.....</t>
  </si>
  <si>
    <t>..........</t>
  </si>
  <si>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</si>
  <si>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 85 (PLE_CC1_2555 Day 1.md)</t>
  </si>
  <si>
    <t>แช่ตู้เย็น โดยเก็บไว้ในช่องแช่แข็ง Case 5: Epilepsy นางสตรี อายุ 25 ปี Dx Tonic-clonic seizure Carbamazepine 200 mg bid F/U 2 week</t>
  </si>
  <si>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</si>
  <si>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กลไกการออกฤทธิ์ของ Carbamazepine</t>
  </si>
  <si>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</si>
  <si>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Carbamazepine นอกจากจะมีข้อบ่งใช้ในโรคลมชัก ยังสามารถรักษาโรคอะไรได้</t>
  </si>
  <si>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</si>
  <si>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ยา Carbamazepine จะเพิ่มขึ้นเมื่อใช้ร่วมกับ</t>
  </si>
  <si>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</si>
  <si>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Carbamazepine มี polymorph ซึ่งแต่ละ polymorph จะแตกต่างกัน ยกเว้น</t>
  </si>
  <si>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</si>
  <si>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ข้อ 6 (PLE_CC1_2555 Day 2.md)</t>
  </si>
  <si>
    <t>hydroxyzine ในขนาดสูงสามารถใช้เป็นยากันชักได้</t>
  </si>
  <si>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</si>
  <si>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</si>
  <si>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</si>
  <si>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ข้อใดผิดเกี่ยวกับยา Carbidopa + Levodopa</t>
  </si>
  <si>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</si>
  <si>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ข้อ 3 (PLE_CC1_2533.md)</t>
  </si>
  <si>
    <t>Levodopa ช่วยเพิ่มการดูดซึมยา Carbidopa ที่ CNS</t>
  </si>
  <si>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</si>
  <si>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Carbidopa ช่วยลดปริมาณของ Levodopa ที่จำเป็นต้องใช้</t>
  </si>
  <si>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</si>
  <si>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</si>
  <si>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</si>
  <si>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ตอบ ค. Phenytoin เนื่องจากยามีผลในการเพิ่มการทำงานของเอนไซม์ P450 ในตับ ทำให้มีผลในการเร่งการทำลาย T4</t>
  </si>
  <si>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</si>
  <si>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</si>
  <si>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</si>
  <si>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Phenytoin 2. Valproic acid 3. Benzodiazepine 4. Carbamazepine</t>
  </si>
  <si>
    <t>1,2,3,4</t>
  </si>
  <si>
    <t>1,3 และ 4</t>
  </si>
  <si>
    <t>1 และ 4</t>
  </si>
  <si>
    <t>1 เท่านั้น</t>
  </si>
  <si>
    <t>2 เท่านั้น</t>
  </si>
  <si>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</si>
  <si>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Phenytoin 2.Valproic acid 3. Benzodiazepine 4. Carbamazepine</t>
  </si>
  <si>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</si>
  <si>
    <t>2 และ 3</t>
  </si>
  <si>
    <t>2 และ 4</t>
  </si>
  <si>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</si>
  <si>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</si>
  <si>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</si>
  <si>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</si>
  <si>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</si>
  <si>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</si>
  <si>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กินร่วมกับ Phenytoin ได้ ะ</t>
  </si>
  <si>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</si>
  <si>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จับกับ Na Channel ใน inactivated state</t>
  </si>
  <si>
    <t>จับกับ T-type Calcium Channel</t>
  </si>
  <si>
    <t>GABA-Chloride</t>
  </si>
  <si>
    <t>NMDA</t>
  </si>
  <si>
    <t>ยับยั้ง 2nd messenger</t>
  </si>
  <si>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</si>
  <si>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Antianxiety</t>
  </si>
  <si>
    <t>Smoking withdrawal</t>
  </si>
  <si>
    <t>Pakinsonism dysarthria</t>
  </si>
  <si>
    <t>Febrile convulsion คำอธิบาย</t>
  </si>
  <si>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</si>
  <si>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</si>
  <si>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</si>
  <si>
    <t>ผู้ป่วยใช้ยาสูตรนี้อยู่ TDF/3TC/LPV/r ผู้ป่วยมีอาการปวดศีรษะไมเกรนเภสัชกรควรแนะนำว่ายาใดไม่ควรใช้ในผู้ป่วยปวดไมเกรน %</t>
  </si>
  <si>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</si>
  <si>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47 (PLE_CC1_Key_Rx20_UBU.md)</t>
  </si>
  <si>
    <t>Phenytoin keto เพิ่มระดับ phenytoin, phenytoin ลดระดับ keto (Major)</t>
  </si>
  <si>
    <t>ข$อใดไมGใชGอาการแสดงของผู$ป&amp;วย Parkinson’s disease (1) Hypertension (2) Resting tremor (3) Impaired balance (4) Slowness of movement (5) Stiffness to limb movement</t>
  </si>
  <si>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</si>
  <si>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73 (PLE_CC1_Key_Rx20_UBU.md)</t>
  </si>
  <si>
    <t>รับประทานยากันชัก</t>
  </si>
  <si>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</si>
  <si>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ลดความถี่ในการให้ยา levodopa</t>
  </si>
  <si>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</si>
  <si>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ลดการปรับขนาดยา levodopa</t>
  </si>
  <si>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</si>
  <si>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จากโครงสร้าง levodopa เปลี่ยนเป็นสารในรูปออกฤทธิ์ผ่านกลไกใด</t>
  </si>
  <si>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</si>
  <si>
    <t>Levodopa ใช้ไม่ได้ผลอีกต่อไป</t>
  </si>
  <si>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</si>
  <si>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ระยะเวลาในการออกฤทธิ์ของ Levodopa สั้นลง</t>
  </si>
  <si>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</si>
  <si>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การเพิ่มความถี ของการให้ levodopa</t>
  </si>
  <si>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</si>
  <si>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ใช้ร่วมกับยา carbamazepine</t>
  </si>
  <si>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</si>
  <si>
    <t>Portal hypertension</t>
  </si>
  <si>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</si>
  <si>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ยาที่ใชเพื่อปองกันไมเกรนที่เหมาะสมในผูปวยรายนี้</t>
  </si>
  <si>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</si>
  <si>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</si>
  <si>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</si>
  <si>
    <t>PLE_CC1_2564_All_Key ข้อ 51</t>
  </si>
  <si>
    <t>ข้อใดไม่ใช่ข้อห้ามใช้ของ Ergotamine</t>
  </si>
  <si>
    <t>Hypothyroidism</t>
  </si>
  <si>
    <t>Myocardial infarction</t>
  </si>
  <si>
    <t>Transient ischemic attack</t>
  </si>
  <si>
    <t>Pregnancy</t>
  </si>
  <si>
    <t>Poorly controlled hypertension</t>
  </si>
  <si>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</si>
  <si>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ข้อใดผิดเกี่ยวกับการรับประทาน Ergotamine</t>
  </si>
  <si>
    <t>รับประทาน 2 เม็ด ทันทีที่มีอาการ</t>
  </si>
  <si>
    <t>รอ 1 ชั่วโมง ถ้ายังมีอาการให้ทานเพิ่ม</t>
  </si>
  <si>
    <t>รับประทานยาอีก 1 เม็ด หากอาการไม่ดีขึ น ทุก 30 นาที</t>
  </si>
  <si>
    <t>รับประทานได้ไม่เกิน 6 เม็ด ต่อการปวด 1 ครั ง</t>
  </si>
  <si>
    <t>รับประทานไม่เกิน 10 เม็ด ต่อสัปดาห์</t>
  </si>
  <si>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</si>
  <si>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โครงสร้างของ Ergotamine ข้อใดถูก</t>
  </si>
  <si>
    <t>มี Chiral carbon 4 ต้าแหน่ง</t>
  </si>
  <si>
    <t>ละลายน ้าดี</t>
  </si>
  <si>
    <t>pKa = 4.0</t>
  </si>
  <si>
    <t>ดูดซึมได้ดี</t>
  </si>
  <si>
    <t>เป็น Indole alkaloid</t>
  </si>
  <si>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</si>
  <si>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Lopinavir/ritonavir กับ ergotamine เกิด DI ผ่านกลไกใด</t>
  </si>
  <si>
    <t>เพิ่มการ metabolism ของ ergotamine</t>
  </si>
  <si>
    <t>เพิ่มการ ขับออกของ ergotamine</t>
  </si>
  <si>
    <t>ลดการ metabolism ของ ergotamine</t>
  </si>
  <si>
    <t>ลดการ ขับออกของ ergotamine</t>
  </si>
  <si>
    <t>เพิ่มการดูดซึม ergotamine</t>
  </si>
  <si>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</si>
  <si>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ข้อใดไม่ใช่ผลข้างเคียง Ergotamine</t>
  </si>
  <si>
    <t>N/V</t>
  </si>
  <si>
    <t>Leg weakness</t>
  </si>
  <si>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</si>
  <si>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71 (PLE_CC1_2558_Key.md)</t>
  </si>
  <si>
    <t>ข้อใดคือกลไกของยา Rivastigmine</t>
  </si>
  <si>
    <t>Decrease Ach activity</t>
  </si>
  <si>
    <t>Inhibit DA and NE activity</t>
  </si>
  <si>
    <t>Inhibit Acetylcholinesterase</t>
  </si>
  <si>
    <t>Stimulate activity of Da</t>
  </si>
  <si>
    <t>Stimulate activity of NE and Ach</t>
  </si>
  <si>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</si>
  <si>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52 (Pharmtutor_2024_Set2.md)</t>
  </si>
  <si>
    <t>amitiptyline</t>
  </si>
  <si>
    <t>Fluoxetine สถานการณ์ที่ 3 : Gout</t>
  </si>
  <si>
    <t>ข้อใดไม่ใช้ risk factor</t>
  </si>
  <si>
    <t>ความดันโลหิตสูง</t>
  </si>
  <si>
    <t>ดื่มเหล้า</t>
  </si>
  <si>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</si>
  <si>
    <t>ข้อ 1 (PLE_CC1_2556.md)</t>
  </si>
  <si>
    <t>กลไกการออกฤทธิ์ของAmitriptyline คือข้อใด</t>
  </si>
  <si>
    <t>ยับยั้งการทำงานของDA transporter</t>
  </si>
  <si>
    <t>ยับยั้งการทำงานของNE transporter</t>
  </si>
  <si>
    <t>ยับยั้งการทำงานของMOA enzyme</t>
  </si>
  <si>
    <t>กระต้่น5-HT receptor</t>
  </si>
  <si>
    <t>กระต้่นα2-adrenergic receptor (ข)</t>
  </si>
  <si>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</si>
  <si>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3 (PLE_CC1_2547.md)</t>
  </si>
  <si>
    <t>ตุอไปนี้เป็นSide effect ที่เกิดจาการใช้ยาAmitriptyline ยกเว้น</t>
  </si>
  <si>
    <t>Sedation</t>
  </si>
  <si>
    <t>Orthostatic hypotension</t>
  </si>
  <si>
    <t>Urinary retention</t>
  </si>
  <si>
    <t>Hyperuriccemia (ง)</t>
  </si>
  <si>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</si>
  <si>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4 (PLE_CC1_2547.md)</t>
  </si>
  <si>
    <t>ยา ergotamine ไม่ละลายน้ำ จึงนำมาบรรจุลงใน capsule ซึ่งต้องเติมสารใดเพื่อช่วยในการไหล</t>
  </si>
  <si>
    <t>Colloidal silica dioxide</t>
  </si>
  <si>
    <t>Crosscamellose</t>
  </si>
  <si>
    <t>PVP</t>
  </si>
  <si>
    <t>Sodium lauryl sulfate</t>
  </si>
  <si>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</si>
  <si>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</si>
  <si>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</si>
  <si>
    <t>การรักษาต้องเริ่มให้ยาในขนาดที่สูง</t>
  </si>
  <si>
    <t>การรักษาต้องให้ยาต่อเนื่องเป็นเวลา 6-8 สัปดาห์ ในระยะแรก</t>
  </si>
  <si>
    <t>เป็นโรคที่ไม่สามารถรักษาให้หายขาดได้</t>
  </si>
  <si>
    <t>จะใช้ยากลุ่ม benzodiazepines ในผู้ป่วยซึมเศร้าที่มีอาการนอนไม่หลับร่วมด้วย</t>
  </si>
  <si>
    <t>สามารถหยุดใช้ยาได้ทันที</t>
  </si>
  <si>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</si>
  <si>
    <t>Anxiety/depression</t>
  </si>
  <si>
    <t>ข้อ 1 Pharma Plus เล่มม่วง (เฉลยข้อ ข ง)</t>
  </si>
  <si>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</si>
  <si>
    <t>ยับยั้ง alpha adrenergic receptor</t>
  </si>
  <si>
    <t>ยับยั้ง beta adrenergic receptor</t>
  </si>
  <si>
    <t>ยับยั้งการนำ norepinephrine กลับเข้าสู่ปลายประสาท</t>
  </si>
  <si>
    <t>ยับยั้งการนำ dopamine กลับเข้าสู่ปลายประสาท</t>
  </si>
  <si>
    <t>ยับยั้งการนำ serotonin กลับเข้าสู่ปลายประสาท</t>
  </si>
  <si>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</si>
  <si>
    <t>ข้อ 2 Pharma Plus เล่มม่วง (เฉลยข้อ จ)</t>
  </si>
  <si>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</si>
  <si>
    <t>Insomnia</t>
  </si>
  <si>
    <t>Pancreatitis</t>
  </si>
  <si>
    <t>Rhinitis</t>
  </si>
  <si>
    <t>Tinnitus</t>
  </si>
  <si>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</si>
  <si>
    <t>ข้อ 3 Pharma Plus เล่มม่วง (เฉลยข้อ ก)</t>
  </si>
  <si>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</si>
  <si>
    <t>เห็นผลการรักษาเร็ว</t>
  </si>
  <si>
    <t>มีผลน้อยต่อระบบหัวใจและหลอดเลือด</t>
  </si>
  <si>
    <t>ไม่ต้องปรับขนาดยาบ่อยครั้ง</t>
  </si>
  <si>
    <t>มีผลต่อ severe adverse effect เช่น suicidal thought น้อย</t>
  </si>
  <si>
    <t>ไม่มี cholinergic effect</t>
  </si>
  <si>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</si>
  <si>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</si>
  <si>
    <t>ห้ามรับประทานยาร่วมกับนม</t>
  </si>
  <si>
    <t>รับประทานยาในช่วงเดียวกันในแต่ละวัน</t>
  </si>
  <si>
    <t>ค่อยๆ เปลี่ยนอิริยาบถ</t>
  </si>
  <si>
    <t>จำกัดน้ำ</t>
  </si>
  <si>
    <t>รับประทานยาก่อนนอน</t>
  </si>
  <si>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</si>
  <si>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</si>
  <si>
    <t>Imipramine</t>
  </si>
  <si>
    <t>Doxepin</t>
  </si>
  <si>
    <t>Phenelzine</t>
  </si>
  <si>
    <t>Sertraline</t>
  </si>
  <si>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</si>
  <si>
    <t>7</t>
  </si>
  <si>
    <t>ข้อใดผิดในการใช้ยาเพื่อรักษาภาวะซึมเศร้า</t>
  </si>
  <si>
    <t>การสูบบุหรี่ทำให้ฤทธิ์ของ TCA ลดลง</t>
  </si>
  <si>
    <t>ผู้ป่วยที่ได้รับยา MAOI ไม่ควรรับประทานอาหารที่มี tyramine สูง เช่น เนย</t>
  </si>
  <si>
    <t>ยากลุ่ม SSRI ไม่ควรใช้ร่วมกับยากลุ่ม MAOI</t>
  </si>
  <si>
    <t>เมื่อหยุดยา MAOI แล้วสามารถเริ่มใช้ SSRI ได้ทันที</t>
  </si>
  <si>
    <t>อาการข้างเคียงของยากลุ่ม TCA คือ ปากแห้ง ตาพร่า แน่นท้อง ท้องผูก</t>
  </si>
  <si>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</si>
  <si>
    <t>ข้อ 7 Pharma Plus เล่มม่วง (เฉลยข้อ ก ง)</t>
  </si>
  <si>
    <t>8</t>
  </si>
  <si>
    <t>St. John's wort ออกฤทธิ์เหมือนยากลุ่มใด</t>
  </si>
  <si>
    <t>MOAI</t>
  </si>
  <si>
    <t>BZs</t>
  </si>
  <si>
    <t>TCA</t>
  </si>
  <si>
    <t>α2 Blocker</t>
  </si>
  <si>
    <t>Barbiturates</t>
  </si>
  <si>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</si>
  <si>
    <t>ข้อ 8 Pharma Plus เล่มม่วง (เฉลยข้อ ค)</t>
  </si>
  <si>
    <t>9</t>
  </si>
  <si>
    <t>เพราะเหตุใด St. John's wort จึงทำให้เกิดปฏิกิริยาระหว่างยาหลายกลุ่ม</t>
  </si>
  <si>
    <t>เพิ่มการสร้าง isozyme cytochrome P450</t>
  </si>
  <si>
    <t>มีความสามารถในการจับกับรีเซ็ปเตอร์ได้หลายชนิด</t>
  </si>
  <si>
    <t>กระตุ้นการจับกับโปรตีนในเลือดหลายชนิด</t>
  </si>
  <si>
    <t>สามารถทำปฏิกิริยาทางเคมีโดยตรงกับยาหลายชนิด</t>
  </si>
  <si>
    <t>เพิ่มอัตราการขับออกของยาที่ไต</t>
  </si>
  <si>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</si>
  <si>
    <t>ข้อ 9 Pharma Plus เล่มม่วง (เฉลยข้อ ก)</t>
  </si>
  <si>
    <t>10</t>
  </si>
  <si>
    <t>กลไกการออกฤทธิ์ของ amitriptyline คือข้อใด</t>
  </si>
  <si>
    <t>ยับยั้งการทำงานของ DA transporter</t>
  </si>
  <si>
    <t>ยับยั้งการ reuptake ของ NE ที่ปลายประสาท</t>
  </si>
  <si>
    <t>ยับยั้งการทำงานของ MOA enzyme</t>
  </si>
  <si>
    <t>กระตุ้น 5-HT receptor</t>
  </si>
  <si>
    <t>กระตุ้น α2-adrenergic receptor</t>
  </si>
  <si>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</si>
  <si>
    <t>11</t>
  </si>
  <si>
    <t>ต่อไปนี้เป็น side effect ที่เกิดจากการใช้ยา amitriptyline ยกเว้น</t>
  </si>
  <si>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</si>
  <si>
    <t>ข้อ 11 Pharma Plus เล่มม่วง (เฉลยข้อ จ)</t>
  </si>
  <si>
    <t>12</t>
  </si>
  <si>
    <t>กลไกการออกฤทธิ์ของ fluoxetine คือข้อใด</t>
  </si>
  <si>
    <t>ยับยั้งการทำงานของ NE transporter</t>
  </si>
  <si>
    <t>ยับยั้งการทำงานของ 5-HT transporter</t>
  </si>
  <si>
    <t>ยับยั้งการทำงานของ MOA-A enzyme</t>
  </si>
  <si>
    <t>ยับยั้งการทำงานของ MOA-B enzyme</t>
  </si>
  <si>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</si>
  <si>
    <t>13</t>
  </si>
  <si>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</si>
  <si>
    <t>Lithium carbonate</t>
  </si>
  <si>
    <t>Clozapine</t>
  </si>
  <si>
    <t>Chlorpromazine</t>
  </si>
  <si>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</si>
  <si>
    <t>ข้อ 13 Pharma Plus เล่มม่วง (เฉลยข้อ จ)</t>
  </si>
  <si>
    <t>14</t>
  </si>
  <si>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</si>
  <si>
    <t>Paroxetine</t>
  </si>
  <si>
    <t>Bupropion</t>
  </si>
  <si>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</si>
  <si>
    <t>15</t>
  </si>
  <si>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</si>
  <si>
    <t>Clomipramine</t>
  </si>
  <si>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</si>
  <si>
    <t>16</t>
  </si>
  <si>
    <t>คำแนะนำในการใช้ยากลุ่ม antidepressant ที่สำคัญเพื่อช่วยเพิ่มความร่วมมือในการใช้ยาของผู้ป่วย คือ</t>
  </si>
  <si>
    <t>ควรแนะนำให้ผู้ป่วยใช้ยาหลังอาหารเท่านั้นจะได้ไม่ลืมใช้ยา</t>
  </si>
  <si>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</si>
  <si>
    <t>ควรแนะนำให้ผู้ป่วยดื่มน้ำมากๆ เพื่อลดการระคายเคืองกระเพาะอาหาร</t>
  </si>
  <si>
    <t>ควรแนะนำการเพิ่มและลดขนาดยาให้ผู้ป่วยเพื่อให้ผู้ป่วยสามารถปรับขนาดยาได้เองตามอาการ</t>
  </si>
  <si>
    <t>ควรแนะนำให้ผู้ป่วยหยุดยาทันทีเมื่อเกิดอาการข้างเคียง เช่น นอนไม่หลับ</t>
  </si>
  <si>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</si>
  <si>
    <t>17</t>
  </si>
  <si>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</si>
  <si>
    <t>สามารถหยุดได้ทันทีโดยไม่ต้องปรับเปลี่ยนขนาดยาใหม่</t>
  </si>
  <si>
    <t>ให้ triazolam ก่อนแล้วค่อยๆ ลดขนาดยาที่ผู้ป่วยรับอยู่สัปดาห์ละ 25% ของขนาดยาที่ให้ผลรักษา</t>
  </si>
  <si>
    <t>ให้ olanzapine ก่อนแล้วค่อยๆ บดขนาดยาที่ผู้ป่วยได้รับอยู่สัปดาห์ละ 75% ของยาที่ให้ผลรักษา</t>
  </si>
  <si>
    <t>ค่อยๆ ลดขนาดยาที่ผู้ป่วยได้รับอยู่สัปดาห์ละ 25% ของขนาดยาที่ให้ผลในการรักษา</t>
  </si>
  <si>
    <t>ให้ผู้ป่วยรับประทานยาที่ได้รับต่อไปอีก 1 สัปดาห์ จากนั้นจึงสามารถหยุดยาได้ทันที</t>
  </si>
  <si>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</si>
  <si>
    <t>18</t>
  </si>
  <si>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</si>
  <si>
    <t>Clonazepam</t>
  </si>
  <si>
    <t>Flunitrazepam</t>
  </si>
  <si>
    <t>Lorazepam</t>
  </si>
  <si>
    <t>Temazepam</t>
  </si>
  <si>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</si>
  <si>
    <t>19</t>
  </si>
  <si>
    <t>กลไการออกฤทธิ์ของยากลุ่ม benzodiazepine คือ</t>
  </si>
  <si>
    <t>กระตุ้น dopamine receptor</t>
  </si>
  <si>
    <t>กระตุ้น GABA receptor</t>
  </si>
  <si>
    <t>กระตุ้น glutamate receptor</t>
  </si>
  <si>
    <t>กระตุ้น muscarinic receptor</t>
  </si>
  <si>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</si>
  <si>
    <t>ข้อ 19 Pharma Plus เล่มม่วง (เฉลยข้อ ค)</t>
  </si>
  <si>
    <t>20</t>
  </si>
  <si>
    <t>Benzodiazepine ไม่ใช้ในการรักษาใด</t>
  </si>
  <si>
    <t>OCD</t>
  </si>
  <si>
    <t>Muscle spasm</t>
  </si>
  <si>
    <t>Alcohol withdrawal</t>
  </si>
  <si>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</si>
  <si>
    <t>21</t>
  </si>
  <si>
    <t>อาการไม่พึงประสงค์ของ benzodiazepine คือ</t>
  </si>
  <si>
    <t>Anterograde amnesia</t>
  </si>
  <si>
    <t>สั่น</t>
  </si>
  <si>
    <t>ปากแห้ง</t>
  </si>
  <si>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</si>
  <si>
    <t>22</t>
  </si>
  <si>
    <t>ข้อใดไม่ถูกต้องเกี่ยวกับ benzodiazepine</t>
  </si>
  <si>
    <t>ประสิทธิผลเท่ากัน diazepam มีราคาถูกกว่า แต่ประสิทธิผลดี</t>
  </si>
  <si>
    <t>Pharmacokinetics ต่างกัน แต่ประสิทธิผลไม่ต่างกัน ถ้าไม่มีโรคประจำตัวไต diazepam สามารถใช้ได้</t>
  </si>
  <si>
    <t>ยาออกฤทธิ์ต่อจิตประสาท แต่ปลอดภัยมี therapeutic index กว้าง</t>
  </si>
  <si>
    <t>ใช้ยาในขนาดสูงเป็นเวลานาน ค่อยๆลดขนาดยาลงใน 1-2 สัปดาห์</t>
  </si>
  <si>
    <t>สามารถหยุดยาได้ทันที</t>
  </si>
  <si>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</si>
  <si>
    <t>23</t>
  </si>
  <si>
    <t>หากใช้ยากลุ่ม benzodiazepine พร้อมกับ alcohol จะเกิดผลอย่างไร</t>
  </si>
  <si>
    <t>Flu-like symptoms</t>
  </si>
  <si>
    <t>Vasodilation</t>
  </si>
  <si>
    <t>เพิ่ม half life ของยา</t>
  </si>
  <si>
    <t>Respiratory depressions</t>
  </si>
  <si>
    <t>Vomiting</t>
  </si>
  <si>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</si>
  <si>
    <t>Drug &amp; alcohol abuse</t>
  </si>
  <si>
    <t>ข้อ 23 Pharma Plus เล่มม่วง (เฉลยข้อ ง)</t>
  </si>
  <si>
    <t>24</t>
  </si>
  <si>
    <t>ข้อใดถูกต้องเกี่ยวกับการใช้ยาในกลุ่ม benzodiazepine เป็นเวลานาน</t>
  </si>
  <si>
    <t>หากจะหยุดยา ให้รับประทานต่อในขนาดเดิมอีก 10 วัน แล้วจึงหยุดยา</t>
  </si>
  <si>
    <t>หากจะหยุดยา ให้รับประทานต่อในขนาดลดลงครึ่งหนึ่งอีก 10 วัน แล้วจึงหยุดยา</t>
  </si>
  <si>
    <t>หากจะหยุดยา ให้ลดขนาดยาลง 25% ทุกๆ 3-7 วัน</t>
  </si>
  <si>
    <t>ทำให้ติดยาทางใจ</t>
  </si>
  <si>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</si>
  <si>
    <t>25</t>
  </si>
  <si>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</si>
  <si>
    <t>มีอาการทาง negative symptoms</t>
  </si>
  <si>
    <t>เกิดจากความผิดปกติของสารสื่อประสาท เช่น dopamine ซึ่งเชื่อว่าอาจเกี่ยวข้องกับพันธุกรรมด้วย</t>
  </si>
  <si>
    <t>จำเป็นต้องรักษาสภาพจิตใจร่วมด้วย</t>
  </si>
  <si>
    <t>เกิดจากความผิดปกติที่ nigrostriatal tract/extrapyramidal pathway</t>
  </si>
  <si>
    <t>มีจำนวนของ D-receptor เพิ่มมากขึ้น</t>
  </si>
  <si>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</si>
  <si>
    <t>26</t>
  </si>
  <si>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</si>
  <si>
    <t>Haloperidol, Clozapine</t>
  </si>
  <si>
    <t>Chlorpromazine, Clozapine</t>
  </si>
  <si>
    <t>Risperidone, Quetiapine</t>
  </si>
  <si>
    <t>Thioridazine, Fluphenazine</t>
  </si>
  <si>
    <t>Perphenazine, Olanzapine</t>
  </si>
  <si>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</si>
  <si>
    <t>ข้อ 26 Pharma Plus เล่มม่วง (เฉลยข้อ )</t>
  </si>
  <si>
    <t>27</t>
  </si>
  <si>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</si>
  <si>
    <t>Agranulocytosis</t>
  </si>
  <si>
    <t>Weight loss</t>
  </si>
  <si>
    <t>Sedative</t>
  </si>
  <si>
    <t>Potential QT-prolongation</t>
  </si>
  <si>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</si>
  <si>
    <t>28</t>
  </si>
  <si>
    <t>ข้อมูลเพิ่มเติม: เดิมผู้ป่วยรักษาด้วยยา haloperidol มานานจนกระทั่งตรวจพบว่าเกิดภาวะ pseudo-parkinsonism ขึ้น
ข้อใดผิด</t>
  </si>
  <si>
    <t>เกิดจากการใช้ยากลุ่ม conventional antipsychotic</t>
  </si>
  <si>
    <t>สามารถรักษาได้ด้วยการใช้ trihexyphenidyl</t>
  </si>
  <si>
    <t>ผู้ป่วยอาจมีอาการ tremor, akathisia, tardive dyskinesia ร่วมด้วยได้</t>
  </si>
  <si>
    <t>มักเกิดในช่วง 5-90 วัน หลังจากเริ่มใช้ยา</t>
  </si>
  <si>
    <t>เกี่ยวข้องกับ dopamine และ NE</t>
  </si>
  <si>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</si>
  <si>
    <t>29</t>
  </si>
  <si>
    <t>Lorazepam มีฤทธิ์ต่างๆ ต่อไปนี้นยกเว้น</t>
  </si>
  <si>
    <t>Muscle relaxant effect</t>
  </si>
  <si>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</si>
  <si>
    <t>30</t>
  </si>
  <si>
    <t>ข้อใดต่อไปเกี่ยวกับ lorazepam ผิด</t>
  </si>
  <si>
    <t>ออกฤทธิ์โดยกระตุ้น GABA receptor</t>
  </si>
  <si>
    <t>ถ้าใช้เป็นระยะเวลานานแล้วหยุดยา จะก่อให้เกิดให้อาการถอนยาได้</t>
  </si>
  <si>
    <t>เป็น Hepatic drug metabolizing enzyme inducer</t>
  </si>
  <si>
    <t>ไม่ก่อให้เกิด "hangover effect" ได้มากเหมือน diazepam</t>
  </si>
  <si>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</si>
  <si>
    <t>31</t>
  </si>
  <si>
    <t>ชายไทยคู่ อายุ 65 ปี ได้รับการวินิจฉัยจากแพทย์ว่ามีภาวะ insomnia
ยาในข้อใดต่อไปนี้ไม่ใช่ยาที่ใช้ในการรักษาภาวะ insomnia</t>
  </si>
  <si>
    <t>Chloral hydrate</t>
  </si>
  <si>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</si>
  <si>
    <t>32</t>
  </si>
  <si>
    <t>ในกรณีที่ผู้ป่วยมีปัญหานอนหลับยาก (ต้องใช้เวลานานกว่าจะหลับ) ควรเลือกใช้ยาในข้อใดต่อไปนี้</t>
  </si>
  <si>
    <t>Midazolam</t>
  </si>
  <si>
    <t>Flurazepam</t>
  </si>
  <si>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</si>
  <si>
    <t>ข้อ 32 Pharma Plus เล่มม่วง (เฉลยข้อ ก ข)</t>
  </si>
  <si>
    <t>33</t>
  </si>
  <si>
    <t>ข้อใดต่อไปนี้ไม่ใช่ประโยชน์ของการใช้ยากลุ่ม BZD ในทางคลินิก</t>
  </si>
  <si>
    <t>ใช้เป็นยานอนหลับ</t>
  </si>
  <si>
    <t>ใช้เป็นยาคลายกังวล</t>
  </si>
  <si>
    <t>ใช้เป็นยาคลายกล้ามเนื้อ</t>
  </si>
  <si>
    <t>ใช้เป็นยากันชัก</t>
  </si>
  <si>
    <t>ใช้เป็นยาสลบ</t>
  </si>
  <si>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</si>
  <si>
    <t>35</t>
  </si>
  <si>
    <t>ข้อใดไม่ใช่เกณฑ์ในการวินิจฉัยภาวะนอนไม่หลับตาม DSM5 (ไม่แน่ใจ)</t>
  </si>
  <si>
    <t>ต้องกินกาแฟเพิ่ม 3-4 แก้ว</t>
  </si>
  <si>
    <t>ถ้าหลับได้จะหลับสนิท</t>
  </si>
  <si>
    <t>ต้องกินเหล้า 1 ขวดให้หลับ</t>
  </si>
  <si>
    <t>ง่วงตอนกลางวัน</t>
  </si>
  <si>
    <t>หลับตอนประชุม/ติดไฟแดง</t>
  </si>
  <si>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</si>
  <si>
    <t>Psychiatric &amp; Addiction</t>
  </si>
  <si>
    <t>PLE_CC1_2567_Key ข้อ 19</t>
  </si>
  <si>
    <t>36</t>
  </si>
  <si>
    <t>ข้อใดเป็นสารเพิ่มความยืดหยุ่นใน nicotine gum</t>
  </si>
  <si>
    <t>Sodium sulfate</t>
  </si>
  <si>
    <t>Glycerin</t>
  </si>
  <si>
    <t>Aspartame</t>
  </si>
  <si>
    <t>Polacrilex (cation exchange resin)</t>
  </si>
  <si>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</si>
  <si>
    <t>Tobacco dependence</t>
  </si>
  <si>
    <t>PLE_CC1_2567_Key ข้อ 63</t>
  </si>
  <si>
    <t>37</t>
  </si>
  <si>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</si>
  <si>
    <t>Sertraline 50 mg OD</t>
  </si>
  <si>
    <t>Escitalopram 10 mg OD</t>
  </si>
  <si>
    <t>Venlafaxine 75 mg OD</t>
  </si>
  <si>
    <t>Amitriptyline 10 mg HS</t>
  </si>
  <si>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</si>
  <si>
    <t>PLE_CC1_2567_Set1_Key ข้อ 22</t>
  </si>
  <si>
    <t>38</t>
  </si>
  <si>
    <t>ข้อเลิกบุหรี่คนไข้มีโรคประจำตัวชักห้ามใช้ยาไร ตัวเลือก</t>
  </si>
  <si>
    <t>Lorazepam 1 mg HS</t>
  </si>
  <si>
    <t>Alprazolam 0.5 mg HS</t>
  </si>
  <si>
    <t>Diazepam 5 mg HS</t>
  </si>
  <si>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</si>
  <si>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PLE-CC1 ปี 2566 Day 1 ข้อ 18</t>
  </si>
  <si>
    <t>39</t>
  </si>
  <si>
    <t>ให้โครงสร้างNicotine gum มาถามว่าควรตรวจหาด้วยtest อะไร. ตัวเลือก</t>
  </si>
  <si>
    <t>Zolpidem 10 mg HS</t>
  </si>
  <si>
    <t>Nicotine gum 2 mg PRN</t>
  </si>
  <si>
    <t>Quetiapine 25 mg HS</t>
  </si>
  <si>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</si>
  <si>
    <t>PLE-CC1 ปี 2566 Day 2 ข้อ 14</t>
  </si>
  <si>
    <t>40</t>
  </si>
  <si>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</si>
  <si>
    <t>Nicotine แสดงคุณสมบัติเปQนกรดอ-อน มี pKa เท-ากับ 8.0</t>
  </si>
  <si>
    <t>Nicotine ในสภาวะ physiological pH สามารถดูดซึมผ-านเมมเบรนได$ดี</t>
  </si>
  <si>
    <t>Cotinine เปQน major metabolite ของ nicotine Weak base Cotinine ใWเLน biomarker หNก ใน การประเXน exposure Yอ nicotine PLE-CC1 Preparation 2565</t>
  </si>
  <si>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</si>
  <si>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PLE_CC1_2565_Day2_Key ข้อ 11</t>
  </si>
  <si>
    <t>41</t>
  </si>
  <si>
    <t>อาการเศร้า หดหู่ (Depression)</t>
  </si>
  <si>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</si>
  <si>
    <t>PLE_CC1_2564_All_Key ข้อ 1</t>
  </si>
  <si>
    <t>42</t>
  </si>
  <si>
    <t>Nicotine จับกับ receptor ให้รูปมา ถามว่าพันธะใดแข็งแรงน้อยที่สุด</t>
  </si>
  <si>
    <t>Covalent bond</t>
  </si>
  <si>
    <t>H-bond</t>
  </si>
  <si>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</si>
  <si>
    <t>PLE_CC1_2564_All_Key ข้อ 103</t>
  </si>
  <si>
    <t>43</t>
  </si>
  <si>
    <t>ข้อแนะนำในข้อใดผิด สำหรับผู้ป่วยที่ใฬ้ Nortriptyline ในการเลิกบุหรี่ (ฬุดA)</t>
  </si>
  <si>
    <t>ให้เริ่มยาเป็นมื้อแรกขอษวันที่เริ่มเลิกบุหรี่</t>
  </si>
  <si>
    <t>ยาทำให้ปากแห้ษคอแห้ษแนะนำให้สิบน้ำบ่อยๆ</t>
  </si>
  <si>
    <t>ยาทำให้ษ่วษไม่แนะนำให้ขับขี่ยานพาหนะ ษ. ยาทำให้ท้อษอืด ให้ดื่มน้ำบ่อยๆ กับรับประทานอาหารที่มีกากใยสูษ</t>
  </si>
  <si>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</si>
  <si>
    <t>PLE_CC1_2563_Q ข้อ 75</t>
  </si>
  <si>
    <t>44</t>
  </si>
  <si>
    <t>ระดับ nicotine ในเลือดแบบใดเป็นขอษ nicotine gum 2 mg 1 ฬิ้น และ nicotine patch 21 mg 1 แผ่น ตามลำดับ</t>
  </si>
  <si>
    <t>B และ C</t>
  </si>
  <si>
    <t>C และ D ษ. D และ A ส. B และ D หอบหืด สถานการณ์ คนไข้ได้รับยา Salmeterol + Fluticasone furoate (25/125) 1 x 2 Salbutamol Prn Montelukast</t>
  </si>
  <si>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</si>
  <si>
    <t>PLE_CC1_2563_Q ข้อ 76</t>
  </si>
  <si>
    <t>ยารายการที่ 3 พบ diazepam มีความผิดหรือไม่</t>
  </si>
  <si>
    <t>ไม่ผิด เพราะขายยาอันตราย</t>
  </si>
  <si>
    <t>ไม่ผิด เพราะขายยาควบคุมพิเศษ</t>
  </si>
  <si>
    <t>ผิด เพราะขายยา วจ 2 โดยไม่มีใบอนุญาต</t>
  </si>
  <si>
    <t>ผิด เพราะขายยา วจ 3 โดยไม่มีใบอนุญาต</t>
  </si>
  <si>
    <t>ผิด เพราะขายยา วจ 4 โดยไม่มีใบอนุญาต</t>
  </si>
  <si>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</si>
  <si>
    <t>ข้อ 83 (PLE_CC1_2562_Key.md)</t>
  </si>
  <si>
    <t>45</t>
  </si>
  <si>
    <t>ข้อใดคือกลไกของยารักษา depression (er) . we ninascosserotonin Bowling neuroplasticity Bardinan. = dog Nasserotonin X ิ nGneon .Iden . ind neuroplasticity Vosges</t>
  </si>
  <si>
    <t>เพิ่ม monoamine</t>
  </si>
  <si>
    <t>ยังยั้งการทำงานสมองส่วน amygdala</t>
  </si>
  <si>
    <t>ยับยั้งการทำงานของ serotonin</t>
  </si>
  <si>
    <t>ลด neuroplasticity ของ neuron</t>
  </si>
  <si>
    <t>ยับยั้งการสร้าง neuron ในสมอง</t>
  </si>
  <si>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</si>
  <si>
    <t>ข้อ 1 (PLE_CC1_2562_Key.md)</t>
  </si>
  <si>
    <t>46</t>
  </si>
  <si>
    <t>ข้อใดไม่ใช่อาการที่ไม่พึงประสงค์ที่พบบ่อยของ fluoxetine X 4 - balanci full response G</t>
  </si>
  <si>
    <t>Sexual dysfunction</t>
  </si>
  <si>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</si>
  <si>
    <t>ข้อ 4 (PLE_CC1_2562_Key.md)</t>
  </si>
  <si>
    <t>47</t>
  </si>
  <si>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</si>
  <si>
    <t>Mirtazapine</t>
  </si>
  <si>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</si>
  <si>
    <t>ข้อ 5 (PLE_CC1_2562_Key.md)</t>
  </si>
  <si>
    <t>48</t>
  </si>
  <si>
    <t>ยาที่ไม่ควรใช้ในการเลิกบุหรี่ของผู้ป่วยรายนี คือ</t>
  </si>
  <si>
    <t>Nicotine gum</t>
  </si>
  <si>
    <t>Nicotine patch</t>
  </si>
  <si>
    <t>Varenicline</t>
  </si>
  <si>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</si>
  <si>
    <t>ข้อ 13 (PLE_CC1_2559.md)</t>
  </si>
  <si>
    <t>49</t>
  </si>
  <si>
    <t>ยาตัวใดที่มีผลข้างเคียงท้าให้ผันร้าย และนอนไม่หลับได้ หลับยาก</t>
  </si>
  <si>
    <t>ATV/r</t>
  </si>
  <si>
    <t>EFV</t>
  </si>
  <si>
    <t>LPV/r</t>
  </si>
  <si>
    <t>RPV</t>
  </si>
  <si>
    <t>TDF ml ประกอบไปด้วย Enfuvirtide 90 mg Mannitol 22.55 mg Sodium carbonate Sodium hydroxide และ HCl หลังผสม pH = 9.0</t>
  </si>
  <si>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</si>
  <si>
    <t>ข้อ 48 (PLE_CC1_2559.md)</t>
  </si>
  <si>
    <t>ยากลุ่ม benzodiazepine เกี่ยวข้องกับไอออนใด</t>
  </si>
  <si>
    <t>Na+</t>
  </si>
  <si>
    <t>K+</t>
  </si>
  <si>
    <t>Cl-</t>
  </si>
  <si>
    <t>Ca2+</t>
  </si>
  <si>
    <t>HCO3- Lot 1 Lot 2 น ้าหนักยาเม็ด Assay 400 390 400 385 %label amount 97-101</t>
  </si>
  <si>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</si>
  <si>
    <t>ข้อ 90 (PLE_CC1_2559.md)</t>
  </si>
  <si>
    <t>51</t>
  </si>
  <si>
    <t>ผู้ป่วยเป็นโรคนอนไม่หลับแบบไหนมีอาการยังไง -</t>
  </si>
  <si>
    <t>Short term, difficulty falling asleep</t>
  </si>
  <si>
    <t>Short term, difficulty falling asleep, maintaining sleep</t>
  </si>
  <si>
    <t>Chronic, difficulty falling asleep</t>
  </si>
  <si>
    <t>Chronic, difficulty maintaining sleep</t>
  </si>
  <si>
    <t>Chronic, difficulty falling asleep, maintaining sleep</t>
  </si>
  <si>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</si>
  <si>
    <t>52</t>
  </si>
  <si>
    <t>ข้อใดเป็นสาเหตุหลักที่ทำให้นอนไม่หลับ</t>
  </si>
  <si>
    <t>เศร้าเรื่องพ่อตาย</t>
  </si>
  <si>
    <t>กังวลเรื่องแม่ป่วย</t>
  </si>
  <si>
    <t>เครียดจากหน้าที่การงาน</t>
  </si>
  <si>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</si>
  <si>
    <t>53</t>
  </si>
  <si>
    <t>ข้อใดถูกต้องเกี่ยวกับการแนะนำการเลิกบุหรี่</t>
  </si>
  <si>
    <t>ควรหยุดสูบบุหรี่เมื่อมีการใช้ nicotine replacement ทันที</t>
  </si>
  <si>
    <t>เมื่อเคี้ยวไว้ห้ามกลืนน้ำลายประมาณ 1 นาที</t>
  </si>
  <si>
    <t>เมื่อเคี้ยวหมากฝรั่ง nicotine ควรหลีกเลี่ยงการดื่มน้ำส้ม น้ำอัดลม อย่างน้อย 15 นาที</t>
  </si>
  <si>
    <t>การใช้ยา Bupropion อาจจะเพิ่มความเสี่ยงต่อการเกิดการชักได้</t>
  </si>
  <si>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</si>
  <si>
    <t>ข้อ 55 (Pharmtutor_2024_Set1.md)</t>
  </si>
  <si>
    <t>54</t>
  </si>
  <si>
    <t>ยาในกลุ่มใดที่เป็นยาทางเลือกแรก ในการรักษาภาวะซึมเศร้าในกลุ่มที่ไม่มีข้อห้ามใช้</t>
  </si>
  <si>
    <t>SNRI</t>
  </si>
  <si>
    <t>SSRI</t>
  </si>
  <si>
    <t>BZPs</t>
  </si>
  <si>
    <t>SDRI</t>
  </si>
  <si>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</si>
  <si>
    <t>ข้อ 56 (Pharmtutor_2024_Set1.md)</t>
  </si>
  <si>
    <t>55</t>
  </si>
  <si>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</si>
  <si>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</si>
  <si>
    <t>ข้อ 58 (Pharmtutor_2024_Set1.md)</t>
  </si>
  <si>
    <t>56</t>
  </si>
  <si>
    <t>Fluoxetine จะถูก metabolized ที_x001E_ตำแหน่งใด เพื_x001E_อ เปลี_x001E_ยนเป็น norfluoxetine A B C D E (1) A (2) B (3) C (4) D (5) E</t>
  </si>
  <si>
    <t>Fluoxetine 20 mg OD</t>
  </si>
  <si>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</si>
  <si>
    <t>ข้อ 55 (PLE_CC1_2557.md)</t>
  </si>
  <si>
    <t>57</t>
  </si>
  <si>
    <t>ผู้ป่วยถือซองยามาขอซื้อ diazepam แต่ไม่มีใบสั่งแพทย์ เภสัชขายไม่ได้ ถามว่า เภสัชกรสามารถจ่ายอะไรแทนได้ เพื่อให้ผู้ป่วยนอนหลับ</t>
  </si>
  <si>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</si>
  <si>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7 (PLE_CC1_2556.md)</t>
  </si>
  <si>
    <t>58</t>
  </si>
  <si>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</si>
  <si>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</si>
  <si>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ไม่ตรงกับเกณฑ์การรักษาตามแนวทาง APA/CANMAT สำหรับโรคนี้
📖 Guideline อ้างอิง:
ข้อ ๒๕๕๐ (PLE_CC1_2554 SET2.md)
📌 จุดจำก่อนสอบ:
• Insomnia: ศึกษากลไก, ข้อบ่งใช้, และผลข้างเคียงที่สำคัญ</t>
  </si>
  <si>
    <t>ข้อ ๒๕๕๐ (PLE_CC1_2554 SET2.md)</t>
  </si>
  <si>
    <t>59</t>
  </si>
  <si>
    <t>ชายไทยคุ้อาย่65 ปีได้รับการวินิจฉัยจากแพทย์วุามีภาวะInsomnia ยาใน ข้อใดตุอไปนี้ไมุใชุยาที่ใช้ในการรักษาภาวะInsomnia</t>
  </si>
  <si>
    <t>Haloperidol (จ)</t>
  </si>
  <si>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</si>
  <si>
    <t>ข้อ 5 (PLE_CC1_2547.md)</t>
  </si>
  <si>
    <t>60</t>
  </si>
  <si>
    <t>ข้อใดถ้กต้องเกี่ยวกับโครงสร้างและความสัมพันธ์ในการออกฤทธิ์ของยา นอนหลับDiazepam โครงสร้างDiazepam</t>
  </si>
  <si>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</si>
  <si>
    <t>ข้อ 8 (PLE_CC1_2547.md)</t>
  </si>
  <si>
    <t>61</t>
  </si>
  <si>
    <t>มีความแรงในการออกฤทธิ์มากกวุาDiazepam เนื่องจากมีC12 อะตอม</t>
  </si>
  <si>
    <t>ข้อ 1 (PLE_CC1_2547.md)</t>
  </si>
  <si>
    <t>62</t>
  </si>
  <si>
    <t>มีระยะเวลาในการออกฤทธิ์สั้นกวุาDiazepam เนื่องจากละลายในไข มันได้มากวุา</t>
  </si>
  <si>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</si>
  <si>
    <t>ข้อ 2 (PLE_CC1_2547.md)</t>
  </si>
  <si>
    <t>63</t>
  </si>
  <si>
    <t>มีระยะเวลาในการออกฤทธิ์สั้นDiazepam เนื่องจากสามารถถ้กเมตา บอไลต์ได้เร็ว</t>
  </si>
  <si>
    <t>Risperidone 2 mg OD</t>
  </si>
  <si>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</si>
  <si>
    <t>64</t>
  </si>
  <si>
    <t>มีระยะเวลาที่ยารออกฤทธิ์เร็วกวุาDiazepam เนื่องจากสามารถผุาน BBB ได้ดี</t>
  </si>
  <si>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</si>
  <si>
    <t>65</t>
  </si>
  <si>
    <t>มีระยะเวลาที่ยารออกฤทธิ์ช้ากวุาDiazepam เนื่องจากมีC-OH (ก)</t>
  </si>
  <si>
    <t>66</t>
  </si>
  <si>
    <t>ยาใดถูกถอนจากตลาดเนื่องจากทำให้เกิด serious psychiatric disorders (anxiety, depression, suicidal thinking) และยาใดสามารถจ่ายในร้านยาได้ตามลำดับ</t>
  </si>
  <si>
    <t>Sibutramine, Lorcaserin</t>
  </si>
  <si>
    <t>Rimonabant, Orlistat</t>
  </si>
  <si>
    <t>Phentermine, Orlistat</t>
  </si>
  <si>
    <t>Rimonabant, Lorcaserin</t>
  </si>
  <si>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</si>
  <si>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</si>
  <si>
    <t>67</t>
  </si>
  <si>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</si>
  <si>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</si>
  <si>
    <t>68</t>
  </si>
  <si>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</si>
  <si>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</si>
  <si>
    <t>69</t>
  </si>
  <si>
    <t>ยาในข้อใดใช้เพื่อรักษา Benzodiazepine overdose</t>
  </si>
  <si>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</si>
  <si>
    <t>ข้อ 16 (PLE_CC1_Practice_Exam.md)</t>
  </si>
  <si>
    <t>70</t>
  </si>
  <si>
    <t>การใช้ Nicotine patch ในผู้ป่วยที่สูบบุหรี่ 15 มวนต่อวัน ข้อใดเหมาะสมที่สุด</t>
  </si>
  <si>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</si>
  <si>
    <t>71</t>
  </si>
  <si>
    <t>ข้อใดไม่ใช่ยาที่แนะนำให้ใช้ในผู้ป่วยที่ต้องการเลิกบุหรี่</t>
  </si>
  <si>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</si>
  <si>
    <t>72</t>
  </si>
  <si>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</si>
  <si>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</si>
  <si>
    <t>73</t>
  </si>
  <si>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</si>
  <si>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</si>
  <si>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74</t>
  </si>
  <si>
    <t>ผู้ป่วยที่ไม่ควรได้รับ Varenicline ในการช่วยเลิกบุหรี่ คือข้อใด</t>
  </si>
  <si>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</si>
  <si>
    <t>ข้อ 23 (PLE_CC1_Practice_Exam.md)</t>
  </si>
  <si>
    <t>75</t>
  </si>
  <si>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</si>
  <si>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</si>
  <si>
    <t>76</t>
  </si>
  <si>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</si>
  <si>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</si>
  <si>
    <t>77</t>
  </si>
  <si>
    <t>กลไกการออกฤทธิ์ของยากลุ่ม Benzodiazepines คือข้อใด</t>
  </si>
  <si>
    <t>. กระตุ้น 5-HT receptor</t>
  </si>
  <si>
    <t>. กระตุ้น Dopamine receptor</t>
  </si>
  <si>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</si>
  <si>
    <t>. กระตุ้น Glutamate receptor</t>
  </si>
  <si>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ไม่ตรงกับเกณฑ์การรักษาตามแนวทาง APA/CANMAT สำหรับโรคนี้
• ข้อ ง. (. กระตุ้น Glutamate receptor):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ข้อ 26 (PLE_CC1_Practice_Exam.md)
📌 จุดจำก่อนสอบ:
• Anxiety/depression: ศึกษากลไก, ข้อบ่งใช้, และผลข้างเคียงที่สำคัญ</t>
  </si>
  <si>
    <t>78</t>
  </si>
  <si>
    <t>Haloperidol 32.ข้อใดต่อไปนี้ ไม่ใช่ อาการไม่พึงประสงค์ของยากลุ่ม Benzodiazepines</t>
  </si>
  <si>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</si>
  <si>
    <t>79</t>
  </si>
  <si>
    <t>Cognitive imparement Depression</t>
  </si>
  <si>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</si>
  <si>
    <t>80</t>
  </si>
  <si>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</si>
  <si>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</si>
  <si>
    <t>81</t>
  </si>
  <si>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</si>
  <si>
    <t>Fluvoxamine</t>
  </si>
  <si>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</si>
  <si>
    <t>ข้อ 38 (PLE_CC1_Practice_Exam.md)</t>
  </si>
  <si>
    <t>82</t>
  </si>
  <si>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</si>
  <si>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</si>
  <si>
    <t>83</t>
  </si>
  <si>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</si>
  <si>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</si>
  <si>
    <t>84</t>
  </si>
  <si>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</si>
  <si>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</si>
  <si>
    <t>85</t>
  </si>
  <si>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</si>
  <si>
    <t>Citalopram</t>
  </si>
  <si>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</si>
  <si>
    <t>86</t>
  </si>
  <si>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</si>
  <si>
    <t>Clemastine และ Amoxicilllin</t>
  </si>
  <si>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</si>
  <si>
    <t>Cetirizine และ Theophylline</t>
  </si>
  <si>
    <t>Chlorpheniramine และ Salbutamol inhaler</t>
  </si>
  <si>
    <t>Chloramphenicol และ Budesonide spray</t>
  </si>
  <si>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Fluticasone propionate spray ร่วมกับ Loratadine เป็นการรักษาระยะยาวสำหรับ moderate-to-severe allergic rhinitis แต่ในกรณีเฉียบพลัน 5 วันที่ต้องบรรเทาอาการจามและน้ำมูกเพื่อให้หลับได้ Clemastine ช่วยลดอาการได้เร็วกว่า
• ข้อ ค. (Cetirizine และ Theophylline): Theophylline เป็น bronchodilator ที่มี narrow therapeutic index และกระตุ้นระบบประสาทส่วนกลาง ทำให้นอนไม่หลับ หัวใจเต้นเร็ว จึงไม่มีข้อบ่งใช้ในโรคจมูกอักเสบภูมิแพ้ทั่วไป
• ข้อ ง. (Chlorpheniramine และ Salbutamol inhaler): Salbutamol inhaler เป็น short-acting beta-2 agonist สำหรับหลอดลมหดเกร็งในโรคหืดเฉียบพลัน ไม่มีผลลดอาการคัดจมูก น้ำมูกไหล หรือการอักเสบของเยื่อบุโพรงจมูก
• ข้อ จ. (Chloramphenicol และ Budesonide spray): Chloramphenicol เป็นยาปฏิชีวนะ broad-spectrum ที่เสี่ยงต่อการเกิด bone marrow suppression และ aplastic anemia จึงห้ามใช้รักษาภาวะ allergic rhinitis ทั่วไป
📖 Guideline อ้างอิง:
ข้อ 29 (PLE_CC1_Practice_Exam.md)
📌 จุดจำก่อนสอบ:
• Insomnia: ศึกษากลไก, ข้อบ่งใช้, และผลข้างเคียงที่สำคัญ</t>
  </si>
  <si>
    <t>87</t>
  </si>
  <si>
    <t>หลักทั่วไปในการใช้ยาต้านอาการซึมเศร้า</t>
  </si>
  <si>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</si>
  <si>
    <t>88</t>
  </si>
  <si>
    <t>Benzodiazepine เป็นยาตัวแรกที่แนะนำให้ใช้ในผู้ป่วย Depression + Insomnia</t>
  </si>
  <si>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</si>
  <si>
    <t>89</t>
  </si>
  <si>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</si>
  <si>
    <t>PHQ-9 (Patient Health Questionnaire-9)</t>
  </si>
  <si>
    <t>HAM-D (Hamilton Depression Rating Scale)</t>
  </si>
  <si>
    <t>MADRS (Montgomery-Asberg Depression Rating Scale)</t>
  </si>
  <si>
    <t>BDI (Beck Depression Inventory)</t>
  </si>
  <si>
    <t>DASS-21 (Depression Anxiety Stress Scale-21)</t>
  </si>
  <si>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</si>
  <si>
    <t>90</t>
  </si>
  <si>
    <t>สามารถจ่ายยา Diazepam ให้ผู้ป่วยรายนี้ได้หรือไม่</t>
  </si>
  <si>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</si>
  <si>
    <t>91</t>
  </si>
  <si>
    <t>ข้อใดไม่ใช่ข้อบ่งใช้ของยา Diazepam</t>
  </si>
  <si>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</si>
  <si>
    <t>92</t>
  </si>
  <si>
    <t>นักศึกษาซึมเศร้าทำข้อสอบไม่ได้</t>
  </si>
  <si>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</si>
  <si>
    <t>93</t>
  </si>
  <si>
    <t>ยา Diazepam ไม่ถูกนำมาใช้ในกรณีใด</t>
  </si>
  <si>
    <t>โรคซึมเศร้า (Major Depressive Disorder) เป็นโรคหลัก</t>
  </si>
  <si>
    <t>Alcohol withdrawal delirium tremens</t>
  </si>
  <si>
    <t>Status epilepticus ฉุกเฉิน</t>
  </si>
  <si>
    <t>Muscle spasm และ Spasticity</t>
  </si>
  <si>
    <t>Procedural sedation ก่อนทำหัตถการ</t>
  </si>
  <si>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</si>
  <si>
    <t>94</t>
  </si>
  <si>
    <t>ภาวะซึมเศร้า</t>
  </si>
  <si>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</si>
  <si>
    <t>95</t>
  </si>
  <si>
    <t>Antidote ของยา Benzodiazepine เมื่อได้รับยาเกินขนาด คืออะไร</t>
  </si>
  <si>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</si>
  <si>
    <t>ข้อ 9 (PLE_CC1_Key_Rx20_UBU.md)</t>
  </si>
  <si>
    <t>96</t>
  </si>
  <si>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</si>
  <si>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</si>
  <si>
    <t>97</t>
  </si>
  <si>
    <t>หากผู้ป่วยใช้ Diazepam มาเป็นเวลานาน แล้วหยุดใช้ยาทันที (Abrupt withdrawal) อาการใดต่อไปนี้ที่มีโอกาสเกิดขึ้นได้มากที่สุด</t>
  </si>
  <si>
    <t>Seizure (ชักจากการหยุดยา)</t>
  </si>
  <si>
    <t>Parkinson's tremor (สั่นแบบ Resting tremor)</t>
  </si>
  <si>
    <t>Hyperthermia และ Diaphoresis เฉียบพลัน</t>
  </si>
  <si>
    <t>Tardive dyskinesia (การเคลื่อนไหวผิดปกติช้า)</t>
  </si>
  <si>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</si>
  <si>
    <t>ข้อ 10 (PLE_CC1_Key_Rx20_UBU.md)</t>
  </si>
  <si>
    <t>98</t>
  </si>
  <si>
    <t>เขียนว่ามีเภสัชกรจบจากสหรัฐอเมริกา กรณีศึกษาที่ 10 HF เลิกบุหรี่</t>
  </si>
  <si>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</si>
  <si>
    <t>99</t>
  </si>
  <si>
    <t>แนะนำให้เลิกบุหรี่ เพราะมีผลกระทบต่อสุขภาพ</t>
  </si>
  <si>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</si>
  <si>
    <t>แนะนำให้ซื้อยาเลิกบุหรี่ไปใช้</t>
  </si>
  <si>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</si>
  <si>
    <t>101</t>
  </si>
  <si>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</si>
  <si>
    <t>10.5 mg</t>
  </si>
  <si>
    <t>7 mg</t>
  </si>
  <si>
    <t>17.5 mg</t>
  </si>
  <si>
    <t>24.5 mg</t>
  </si>
  <si>
    <t>3.5 mg</t>
  </si>
  <si>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</si>
  <si>
    <t>ข้อ 66 (PLE_CC1_Key_Rx20_UBU.md)</t>
  </si>
  <si>
    <t>102</t>
  </si>
  <si>
    <t>จากตำรับของ nicotine patch ดังกล่าว จัดเป็น TDDS ชนิดใด</t>
  </si>
  <si>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</si>
  <si>
    <t>ข้อ 68 (PLE_CC1_Key_Rx20_UBU.md)</t>
  </si>
  <si>
    <t>103</t>
  </si>
  <si>
    <t>Fluoxetine 1x1 pc เช$า</t>
  </si>
  <si>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</si>
  <si>
    <t>104</t>
  </si>
  <si>
    <t>Fluoxetine มีการขจัดออกอยGางไร</t>
  </si>
  <si>
    <t>O-dealkylation</t>
  </si>
  <si>
    <t>N-dealkylation</t>
  </si>
  <si>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</si>
  <si>
    <t>ข้อ 79 (PLE_CC1_Key_Rx20_UBU.md)</t>
  </si>
  <si>
    <t>105</t>
  </si>
  <si>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</si>
  <si>
    <t>Fluoxetine ยับยั้ง CYP2D6 ลดการเปลี่ยน Tamoxifen เป็น Endoxifen ทำให้ประสิทธิภาพในการรักษามะเร็งลดลง</t>
  </si>
  <si>
    <t>Fluoxetine เพิ่มระดับ Tamoxifen ในเลือด ทำให้ฤทธิ์รักษามะเร็งดีขึ้น</t>
  </si>
  <si>
    <t>ทั้งสองยาแข่งขัน CYP2D6 ทำให้ยาทั้งคู่ออกฤทธิ์นานขึ้น</t>
  </si>
  <si>
    <t>ไม่มีปฏิกิริยาระหว่างยา เพราะทั้งคู่ใช้ enzyme เดียวกัน</t>
  </si>
  <si>
    <t>Tamoxifen ยับยั้ง CYP2D6 ทำให้ระดับ Fluoxetine ในเลือดสูงขึ้นและเสี่ยง serotonin syndrome</t>
  </si>
  <si>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</si>
  <si>
    <t>106</t>
  </si>
  <si>
    <t>acute insomnia, sleep onset and maintainance</t>
  </si>
  <si>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</si>
  <si>
    <t>107</t>
  </si>
  <si>
    <t>acute insomnia, sleep onset and wake up early</t>
  </si>
  <si>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</si>
  <si>
    <t>108</t>
  </si>
  <si>
    <t>chronic insomnia, sleep onset and maintainance</t>
  </si>
  <si>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</si>
  <si>
    <t>109</t>
  </si>
  <si>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</si>
  <si>
    <t>คาเฟอีนในชายับยั้ง Adenosine receptor ทำให้ลด Sleep pressure และเพิ่ม Sleep latency</t>
  </si>
  <si>
    <t>ชามีฤทธิ์ขยายหลอดเลือด ทำให้ Blood pressure สูงขึ้นและนอนหลับยาก</t>
  </si>
  <si>
    <t>Tannin ในชาทำให้เกิด Gastritis และนอนไม่หลับเนื่องจากปวดท้อง</t>
  </si>
  <si>
    <t>ชาทำให้เกิด Urinary frequency บ่อยขึ้นในเวลากลางคืน</t>
  </si>
  <si>
    <t>ชามีสาร Theobromine ที่กระตุ้นระบบประสาทรุนแรงกว่าคาเฟอีน</t>
  </si>
  <si>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</si>
  <si>
    <t>110</t>
  </si>
  <si>
    <t>ตำแหน่งสองเปลี่ยน C=O เป็น C=N จากโครงสร้างยาเป็นกลุ่ม Benzodiazepines</t>
  </si>
  <si>
    <t>เติม Halogen ที่ Carbon ตำแหน่ง 9 ทำให้ฤทธิ์ลดลง</t>
  </si>
  <si>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</si>
  <si>
    <t>111</t>
  </si>
  <si>
    <t>ผู้ป่วยจัดเป็น Insomnia ประเภทใด</t>
  </si>
  <si>
    <t>Short term insomnia with difficulty falling asleep</t>
  </si>
  <si>
    <t>Short term insomnia with difficulty falling asleep and maintaining sleep</t>
  </si>
  <si>
    <t>Long term insomnia with difficulty falling asleep</t>
  </si>
  <si>
    <t>Long term insomnia with difficulty falling asleep and maintaining sleep</t>
  </si>
  <si>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</si>
  <si>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ผู้ป่วยรายนี้มีปัญหาทั้งระยะเวลาเริ่มต้นในการนอนหลับ (sleep onset latency นาน) ร่วมกับการตื่นเช้าผิดปกติ และระยะเวลายังไม่เข้าเกณฑ์ long term insomnia
📖 Guideline อ้างอิง:
ข้อ 64 (PLE_CC1_Key_Rx20_UBU.md)
📌 จุดจำก่อนสอบ:
• Insomnia: ศึกษากลไก, ข้อบ่งใช้, และผลข้างเคียงที่สำคัญ</t>
  </si>
  <si>
    <t>ข้อ 64 (PLE_CC1_Key_Rx20_UBU.md)</t>
  </si>
  <si>
    <t>112</t>
  </si>
  <si>
    <t>สาเหตุใดเป็นสาเหตุหลักของการนอนไม่หลับมากที่สุด</t>
  </si>
  <si>
    <t>พ่อเสียชีวิต</t>
  </si>
  <si>
    <t>แม่ป่วย</t>
  </si>
  <si>
    <t>ภรรยาเสียชีวิต</t>
  </si>
  <si>
    <t>กินยาลดความดันโลหิต</t>
  </si>
  <si>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</si>
  <si>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ยารักษาโรคต่อมลูกหมากโตส่วนใหญ่ เช่น alpha-1 blockers ไม่ได้รบกวนสถาปัตยกรรมการนอนหลับ และการรับประทานสม่ำเสมอไม่ได้เป็นตัวกระตุ้นการนอนไม่หลับเฉียบพลัน
📖 Guideline อ้างอิง:
ข้อ 65 (PLE_CC1_Key_Rx20_UBU.md)
📌 จุดจำก่อนสอบ:
• Insomnia: ศึกษากลไก, ข้อบ่งใช้, และผลข้างเคียงที่สำคัญ</t>
  </si>
  <si>
    <t>113</t>
  </si>
  <si>
    <t>ควรใช้ยาใดในผู้ป่วยรายนี้ มีตาราง Pharmacokinetics ของ Benzodiazepine มาดังนี้</t>
  </si>
  <si>
    <t>Triazolam</t>
  </si>
  <si>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</si>
  <si>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Clonazepam แม้จะมีฤทธิ์ยาวนานแต่มี slow-to-intermediate onset of action ทำให้ไม่ตอบสนองต่อปัญหาการเริ่มต้นนอนหลับยาก (difficulty falling asleep) ได้เร็วทันที
📖 Guideline อ้างอิง:
ข้อ 67 (PLE_CC1_Key_Rx20_UBU.md)
📌 จุดจำก่อนสอบ:
• Anxiety/depression: ศึกษากลไก, ข้อบ่งใช้, และผลข้างเคียงที่สำคัญ</t>
  </si>
  <si>
    <t>114</t>
  </si>
  <si>
    <t>ผู้ป่วยมีโรคซึมเศร้าร่วมด้วย ควรได้รับยาใด เพื่อรักษาอาการนอนไม่หลับและซึมเศร้า</t>
  </si>
  <si>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</si>
  <si>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Zolpidem เป็น non-benzodiazepine hypnotic ที่ช่วยเรื่องการนอนหลับระยะสั้นเท่านั้น แต่ไม่มีฤทธิ์ต้านอาการซึมเศร้า (antidepressant property) ตามข้อบ่งใช้
📖 Guideline อ้างอิง:
ข้อ 68 (PLE_CC1_Key_Rx20_UBU.md)
📌 จุดจำก่อนสอบ:
• Anxiety/depression: ศึกษากลไก, ข้อบ่งใช้, และผลข้างเคียงที่สำคัญ</t>
  </si>
  <si>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</si>
  <si>
    <t>แนะนำให้งดดื่มเครื่องดื่มแอลกอฮอล์ก่อนนอน</t>
  </si>
  <si>
    <t>เมื่อนอนไม่หลับภายใน 20 นาที ให้ลุกออกจากเตียงไปทำกิจกรรมผ่อนคลาย เมื่อรู้สึกง่วงจึงค่อยกลับมานอน</t>
  </si>
  <si>
    <t>แนะนำให้นอนหลับพักผ่อนในช่วงกลางวันชดเชยวันละ 2-3 ชั่วโมง</t>
  </si>
  <si>
    <t>เข้านอนและตื่นนอนให้ตรงเวลาเดิมสม่ำเสมอทุกวัน</t>
  </si>
  <si>
    <t>งดดื่มชา กาแฟ และเครื่องดื่มที่มีคาเฟอีน โดยเฉพาะในช่วงบ่ายและเย็น</t>
  </si>
  <si>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</si>
  <si>
    <t>Psychiatric</t>
  </si>
  <si>
    <t>PLE_CC1_2567_Key ข้อ 18</t>
  </si>
  <si>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</si>
  <si>
    <t>จ่าย Lorazepam 1 mg รับประทานก่อนนอนทุกคืนต่อเนื่อง 1 เดือน</t>
  </si>
  <si>
    <t>ปรับสุขอนามัยการนอนหลับ (Sleep hygiene) งดแอลกอฮอล์/กาแฟ และอาจพิจารณา Melatonin ระยะสั้น</t>
  </si>
  <si>
    <t>แนะนำให้รับประทานยาเม็ดสารสกัดสมุนไพรใบขี้เหล็กก่อนนอน</t>
  </si>
  <si>
    <t>จ่ายยา Chlorpheniramine (CPM) 4 mg รับประทานก่อนนอนเป็นประจำเพื่อช่วยให้นอนหลับ</t>
  </si>
  <si>
    <t>ให้ดื่มแอลกอฮอล์เพิ่มปริมาณเป็น 2 แก้วก่อนนอนเพื่อให้หลับสนิทตลอดคืน</t>
  </si>
  <si>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</si>
  <si>
    <t>PLE_CC1_2567_Key ข้อ 20</t>
  </si>
  <si>
    <t>ตามแนวทาง GINA Guideline ปัจจุบัน การรักษาแบบบรรเทาอาการทันที (Reliever) ที่แนะนำเป็น First-line ในผู้ป่วยโรคหืด (Asthma Track 1) คือตัวเลือกใด?</t>
  </si>
  <si>
    <t>Short-acting beta-2 agonist (SABA) เดี่ยวๆ (เช่น Salbutamol MDI)</t>
  </si>
  <si>
    <t>Inhaled corticosteroid + Formoterol (ICS-Formoterol ขนาดต่ำ)</t>
  </si>
  <si>
    <t>Oral Prednisolone 30 mg</t>
  </si>
  <si>
    <t>Ipratropium bromide MDI</t>
  </si>
  <si>
    <t>Theophylline sustained-release</t>
  </si>
  <si>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</si>
  <si>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</si>
  <si>
    <t>เพื่อให้สามารถดำเนินชีวิตได้ปกติ</t>
  </si>
  <si>
    <t>เพื่อให้ควบคุมอาการของโรคได้</t>
  </si>
  <si>
    <t>เพื่อหลีกเลี่ยงอาการไม่พึงประสงค์อันเนื่องมาจากยารับประทาน</t>
  </si>
  <si>
    <t>เพื่อป้องกันการเกิดอาการเรื้อรัง</t>
  </si>
  <si>
    <t>เพื่อป้องกันการทำลายเนื้อเยื่อปอด</t>
  </si>
  <si>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</si>
  <si>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</si>
  <si>
    <t>เดินขึ้นบันได 2 ชั้น</t>
  </si>
  <si>
    <t>อากาศร้อน</t>
  </si>
  <si>
    <t>ฝุ่น</t>
  </si>
  <si>
    <t>ควันบุหรี่</t>
  </si>
  <si>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</si>
  <si>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</si>
  <si>
    <t>ตัวยามีฤทธิ์เป็น long-acting beta 2 antagonist</t>
  </si>
  <si>
    <t>หากใช้ร่วมกับ inhaled steroid ให้พ่น steroid ก่อน</t>
  </si>
  <si>
    <t>ผู้ป่วยทุกรายควรพกติดตัวไว้ตลอดเวลาเพราะเป็นยาช่วยบรรเทาอาการ</t>
  </si>
  <si>
    <t>เวลาเกิด attack ให้พ่น 2-4 puffs ทุกหนึ่งชั่วโมงอย่างมากที่สุด 3 ครั้ง</t>
  </si>
  <si>
    <t>ที่ห้องฉุกเฉินเปลี่ยนไปให้เป็นรูปแบบยาฉีดให้ออกฤทธิ์เร็วและเพิ่ม bioavailability</t>
  </si>
  <si>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</si>
  <si>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</si>
  <si>
    <t>Inhaled formoterol ครั้งละ 3 puffs ก่อนนอน</t>
  </si>
  <si>
    <t>Zileuton ครั้งละ 1 เม็ด วันละ 4 ครั้ง</t>
  </si>
  <si>
    <t>Sustained-released theophylline ครั้งละ 1 เม็ด วันละ 2 ครั้ง</t>
  </si>
  <si>
    <t>Inhaled budesonide ครั้งละ 1 puffs วันละ 2 ครั้ง</t>
  </si>
  <si>
    <t>Ketotifen (1mg/tablet) ครั้งละ 1 เม็ด วันละ 2 ครั้ง</t>
  </si>
  <si>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</si>
  <si>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6 เดือนต่อมาผู้ป่วยกลับไปพบแพทย์ด้วยอาการหอบที่ยังควบคุมไม่ค่อยได้ผล ยาที่เป็นตัวควบคุมโรคตัวใดมีความเหมาะสมมากที่สุด</t>
  </si>
  <si>
    <t>Inhaled salmeterol DPI ครั้งละ 1 blister ทุก 12 ชม.</t>
  </si>
  <si>
    <t>Inhaled cromolyn MDI (1mg/puff) ครั้งละ 2 puff วันละ 3 ครั้ง</t>
  </si>
  <si>
    <t>Inhaled fluticasone + salmeterol DPI ครั้งละ 1 puff วันละ 2 ครั้ง</t>
  </si>
  <si>
    <t>Prednisolone (5 mg/tab) ครั้งละ 5 เม็ด หลังอาหาร เช้า เย็น</t>
  </si>
  <si>
    <t>Inhaled ipratropium MDI ครั้งละ 2 puff วันละ 3 ครั้ง</t>
  </si>
  <si>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</si>
  <si>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การใช้น้ำกลั้วคอแล้วบ้วนทิ้งหลังพ่นยา steroid ป้องกันผลข้างเคียงใดได้มากที่สุด</t>
  </si>
  <si>
    <t>Sore throat</t>
  </si>
  <si>
    <t>Pharyngitis</t>
  </si>
  <si>
    <t>Gingivitis</t>
  </si>
  <si>
    <t>Oral thrush</t>
  </si>
  <si>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</si>
  <si>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ยาใดต่อไปนี้ไม่เกิดปฏิกิริยาเมื่อรับประทานร่วมกับ theophylline</t>
  </si>
  <si>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</si>
  <si>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</si>
  <si>
    <t>ความเย็น</t>
  </si>
  <si>
    <t>การออกกำลังกาย</t>
  </si>
  <si>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</si>
  <si>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ลักษณะอาการของผู้ที่เป็นโรคหอบหืด คือ</t>
  </si>
  <si>
    <t>หายใจมีเสียงหวีด, หายใจขัด, ไอ</t>
  </si>
  <si>
    <t>แน่นจมูก, ไอมีเสมหะ, มีน้ำมูกใส</t>
  </si>
  <si>
    <t>หายใจถี่, ไอมีเสียงก้อง, หายใจขัด</t>
  </si>
  <si>
    <t>ไอแห้งๆ, เจ็บหน้าอก, หายใจขัด</t>
  </si>
  <si>
    <t>ไอแห้งๆ, หายใจไม่ออก, มีน้ำมูกข้น</t>
  </si>
  <si>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</si>
  <si>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พยาธิสภาพของหลอดลมในผู้ป่วยที่เป็นโรคหอบหืด ได้แก่</t>
  </si>
  <si>
    <t>มีการอักเสบเรื้อรังของถุงลมในปอด ทำให้ถุงลมไวต่อสิ่งกระตุ้นมากกว่าปกติ ซึ่งจะเป็นแบบ reversible</t>
  </si>
  <si>
    <t>มีการอักเสบเรื้อรังของถุงลมในปอด ทำให้ถุงลมไวต่อสิ่งกระตุ้นมากกว่าปกติ ซึ่งจะเป็นแบบ irreversible</t>
  </si>
  <si>
    <t>มีการอักเสบเรื้อรังของหลอดลม ทำให้หลอดลมไวต่อสิ่งกระตุ้นมากกว่าปกติ ซึ่งจะเป็นแบบ reversible</t>
  </si>
  <si>
    <t>มีการอักเสบเรื้อรังของหลอดลม ทำให้หลอดลมไวต่อสิ่งกระตุ้นมากกว่าปกติ ซึ่งจะเป็นแบบ irreversible</t>
  </si>
  <si>
    <t>มีการอักเสบแบบเฉียบพลันของหลอดลม ทำให้หลอดลมไวต่อสิ่งกระตุ้นมากกว่าปกติ ซึ่งจะเป็นแบบ irreversible</t>
  </si>
  <si>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</si>
  <si>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ข้อใดเป็นกลไกที่ถูกต้องของการเกิดโรคหอบหืด</t>
  </si>
  <si>
    <t>Allergen กระตุ้นการสร้าง IgE ทำให้เกิด early-phaser allergic reaction</t>
  </si>
  <si>
    <t>Allergen กระตุ้นการหลั่ง IgE ทำให้เกิด late-phase allergic reaction</t>
  </si>
  <si>
    <t>Allergen จับกับ IgE บน mast cell ทำให้เกิดการหลั่ง mediators นำไปสู่ early-phase reaction</t>
  </si>
  <si>
    <t>Allergen จับกับ IgE บน mast cell ทำให้เกิดการหลั่ง mediators นำไปสู่ late-phase reaction</t>
  </si>
  <si>
    <t>Allergen form complex กับ IgE ฝังตัวบนเนื้อเยื่อของหลอดลม และกระตุ้นให้เกิดการอักเสบ</t>
  </si>
  <si>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</si>
  <si>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ท่านจะแนะนำการใช้ยาพ่น beclomethasone inhaler ให้แก่ นาง ก อย่างไรบ้าง</t>
  </si>
  <si>
    <t>หลังการพ่นยาควรบ้วนปากทุกครั้ง</t>
  </si>
  <si>
    <t>ไม่ควรใช้ยาร่วมกับ spacer</t>
  </si>
  <si>
    <t>ใช้เฉพาะเวลาที่มีการจับหืด</t>
  </si>
  <si>
    <t>ยาออกฤทธิ์โดยการขยายหลอดลม</t>
  </si>
  <si>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</si>
  <si>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อาการข้างเคียงที่อาจเกิดขึ้นจากการใช้ยาพ่น beclomethasone inhaler ได้แก่</t>
  </si>
  <si>
    <t>เชื้อราในช่องปาก, เสียงแหบ</t>
  </si>
  <si>
    <t>คลื่นไส้, อาเจียน</t>
  </si>
  <si>
    <t>เวียนศีรษะ, ใจสั่น</t>
  </si>
  <si>
    <t>มือสั่น, นอนไม่หลับ</t>
  </si>
  <si>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</si>
  <si>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ยาในกลุ่มใดต่อไปนี้ใช้เป็นยาสำหรับควบคุมอาการหอบหืด</t>
  </si>
  <si>
    <t>Glucocorticoid, ketotifen, short-acting beta-2 agonists</t>
  </si>
  <si>
    <t>leukotriene antagonist, cromolyn, anticholinergic</t>
  </si>
  <si>
    <t>Cromolyn, glucocorticoid, leukotriene antagonist</t>
  </si>
  <si>
    <t>short-acting beta-2 agonist</t>
  </si>
  <si>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</si>
  <si>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</si>
  <si>
    <t>สิ่งกระตุ้น (triggers) ต่าง ๆ เช่น เสียง แสง ความร้อน เป็นต้น</t>
  </si>
  <si>
    <t>การตอบสนองต่อสิ่งเร้าหรือระบบภูมิคุ้มกันร่างกายที่มากเกินไป</t>
  </si>
  <si>
    <t>เป็นอาการร่วมเมื่อผู้ป่วยเกิดอาการใช้</t>
  </si>
  <si>
    <t>ความผิดปกติของปอด</t>
  </si>
  <si>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</si>
  <si>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</si>
  <si>
    <t>CK</t>
  </si>
  <si>
    <t>MCHC</t>
  </si>
  <si>
    <t>GFR</t>
  </si>
  <si>
    <t>PaO2</t>
  </si>
  <si>
    <t>PEF</t>
  </si>
  <si>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</si>
  <si>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ข้อใดคือข้อดีจากการใช้ยา beta 2 - selective agonist</t>
  </si>
  <si>
    <t>ลดอาการข้างเคียงต่อระบบประสาท</t>
  </si>
  <si>
    <t>ลดอาการข้างเคียงต่อหัวใจ</t>
  </si>
  <si>
    <t>ลดอาการข้างเคียงทางผิวหนัง</t>
  </si>
  <si>
    <t>พิษบตับน้อย</t>
  </si>
  <si>
    <t>พิษต่อไตน้อย</t>
  </si>
  <si>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</si>
  <si>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ข้อใดคือคำแนะนำการใช้ยา salbutamol inhaler ในผู้ป่วยรายนี้</t>
  </si>
  <si>
    <t>พ่น 1-2 puff ก่อนนอน</t>
  </si>
  <si>
    <t>เมื่อมีอาการกำเริบพ่น 1-2 puff</t>
  </si>
  <si>
    <t>สามารถพ่นหลังรับประทานอาหารทันทีได้</t>
  </si>
  <si>
    <t>พ่น 1-2 puff ก่อนและหลังออกกำลังกาย</t>
  </si>
  <si>
    <t>เพื่อป้องกันการกำเริบพ่น 1-2 puff ก่อนออกกำลังกายอย่างน้อย 30 นาที</t>
  </si>
  <si>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</si>
  <si>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ถ้าเภสัชกรต้องการสืบค้นแนวทางการรักษาโรคหอบหืดจะค้นจากแหล่งใด</t>
  </si>
  <si>
    <t>JNC 7</t>
  </si>
  <si>
    <t>GINA</t>
  </si>
  <si>
    <t>GOLD</t>
  </si>
  <si>
    <t>NCEP III</t>
  </si>
  <si>
    <t>Stanford</t>
  </si>
  <si>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</si>
  <si>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ข้อใดกล่าวถูกต้องเกี่ยวกับวิธีการเก็บรักษายา salbutamol MDI</t>
  </si>
  <si>
    <t>เก็บไว้ที่อุณหภูมิห้อง</t>
  </si>
  <si>
    <t>เมื่อเปิดใช้แล้วต้องใช้ให้หมดภายใน 7 วัน</t>
  </si>
  <si>
    <t>เมื่อเปิดใช้แล้วสามารถเก็บไว้ได้ 14 วัน</t>
  </si>
  <si>
    <t>เก็บในลักษณะหงายหรือปากขวดชี้ขึ้น</t>
  </si>
  <si>
    <t>เก็บในตู้เย็นที่อุณหภูมิ 2-8 °C</t>
  </si>
  <si>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</si>
  <si>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ผู้ป่วยใช้ยาแล้วเกิดคราบฝ้าขาวที่ลิ้น ซึ่งเป็นผลจากการใช้ยาในข้อใด</t>
  </si>
  <si>
    <t>Salbutamol inhaler</t>
  </si>
  <si>
    <t>Budesonide inhaler</t>
  </si>
  <si>
    <t>Salbutamol syrup</t>
  </si>
  <si>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</si>
  <si>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</si>
  <si>
    <t>Bronchoconstriction</t>
  </si>
  <si>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</si>
  <si>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ข้อใดไม่ใช่ปัจจัยเสี่ยงต่อการเกิด COPD</t>
  </si>
  <si>
    <t>ผู้ป่วยสูงอายุ</t>
  </si>
  <si>
    <t>มีประวัติสูบบุหรี่</t>
  </si>
  <si>
    <t>ทำงานในโรงงานถลุงเหล็ก</t>
  </si>
  <si>
    <t>การขาดสาร alpha-1 antitrypsin</t>
  </si>
  <si>
    <t>มีภาวะ airway hyper-responsiveness</t>
  </si>
  <si>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</si>
  <si>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ข้อใดต่อไปนี้กล่าวถูก</t>
  </si>
  <si>
    <t>โรค COPD พบบ่อยในผู้ป่วยทุกเพศทุกวัย</t>
  </si>
  <si>
    <t>ยาหลักที่ใช้ใน COPD คือ ยาพ่น corticosteroid</t>
  </si>
  <si>
    <t>ใช้ peak flow meter ในการแบ่งความรุนแรงของ COPD</t>
  </si>
  <si>
    <t>สามารถใช้ oral หรือ inhale glucocorticosteroid เพื่อลดภาวะ exacerbation ในผู้ป่วย COPD ได้</t>
  </si>
  <si>
    <t>สาเหตุหลักที่ทำให้เกิด asthma คือการสูบบุหรี่</t>
  </si>
  <si>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</si>
  <si>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เครื่องมือใดต่อไปนี้ใช้ตรวจสมรรถภาพปอด เพื่อใช้ในการวินิจฉัยโรค COPD</t>
  </si>
  <si>
    <t>Peak flow meter</t>
  </si>
  <si>
    <t>Computed tomography</t>
  </si>
  <si>
    <t>Spirometer</t>
  </si>
  <si>
    <t>MRI</t>
  </si>
  <si>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</si>
  <si>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</si>
  <si>
    <t>Ephedrine Intranasal</t>
  </si>
  <si>
    <t>Loratadine + pseudoephedrine</t>
  </si>
  <si>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</si>
  <si>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</si>
  <si>
    <t>จ่ายยา</t>
  </si>
  <si>
    <t>ไม่จ่ายยา เนื่องจากเป็นยาอันตราย</t>
  </si>
  <si>
    <t>ไม่จ่ายยา เนื่องจากเป็นยาควบคุมพิเศษ</t>
  </si>
  <si>
    <t>จ่ายยา แต่จ่ายปริมาณน้อยกว่า 5 เม็ด</t>
  </si>
  <si>
    <t>จ่ายยา แล้วกำชับว่า เป็นความลับ</t>
  </si>
  <si>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</si>
  <si>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ข้อใดเป็นกลไกการออกฤทธิ์ของยา prednisolone</t>
  </si>
  <si>
    <t>ยับยั้งการทำงานของเอนไซม์ xanthine oxidase</t>
  </si>
  <si>
    <t>ยับยั้งการทำงานของเอนไซม์ cyclooxygenase</t>
  </si>
  <si>
    <t>ยับยั้งการทำงานของเอนไซม์ phospholipase</t>
  </si>
  <si>
    <t>ยับยั้งการทำงานของเอนไซม์ 5- lipo-oxygenase</t>
  </si>
  <si>
    <t>ยับยั้งการทำงานของเอนไซม์ esterase</t>
  </si>
  <si>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</si>
  <si>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</si>
  <si>
    <t>ขนสัตว์ ไรฝุ่น</t>
  </si>
  <si>
    <t>การรับประทานยาบางประเภท เช่น NSAIDs</t>
  </si>
  <si>
    <t>การดื่มกาแฟ</t>
  </si>
  <si>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</si>
  <si>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ผลทางห้องปฏิบัติการที่แสดงว่าผู้ป่วยเป็นโรคหอบหืด คือ</t>
  </si>
  <si>
    <t>FEV1 (post bronchodilator) มากกว่า 12%</t>
  </si>
  <si>
    <t>PEF (post bronchodilator) มากกว่า 25%</t>
  </si>
  <si>
    <t>ค่า PaO2 น้อยกว่า 80%</t>
  </si>
  <si>
    <t>ข้อ ก. และ ข. ถูก</t>
  </si>
  <si>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</si>
  <si>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เราควรแนะนำผู้ป่วยเมื่อมีการใช้ยาพ่น Budecort อย่างไร</t>
  </si>
  <si>
    <t>หลีกเลี่ยงการใช้ยาร่วมกับ spacer</t>
  </si>
  <si>
    <t>หากมีการใช้ยาพร้อมกันกับยาพ่น Ventolin ให้พ่นยาตัวนี้ก่อนพ่น Ventolin</t>
  </si>
  <si>
    <t>ให้บ้วนปาก กลั้วคอทุกครั้งหลังจากใช้ยา</t>
  </si>
  <si>
    <t>เก็บหลอดยาไว้ในตู้เย็น</t>
  </si>
  <si>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</si>
  <si>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เกี่ยวกับ Ventolin ข้อใดผิด</t>
  </si>
  <si>
    <t>ประกอบด้วยยา albuterol ซึ่งเป็น beta2 agonist ชนิดออกฤทธิ์สั้น</t>
  </si>
  <si>
    <t>ในผู้ป่วยรายนี้ใช้เพื่อบรรเทาอาการหอบหืดที่เกิดขึ้นเป็นครั้งคราวเท่านั้น</t>
  </si>
  <si>
    <t>อาการข้างเคียงที่อาจพบ คือ มือสั่น ปากแห้ง เหนื่อย หัวใจเต้นช้า</t>
  </si>
  <si>
    <t>กลไกของยาคือ กระตุ้นการสร้าง adenylate cyclase เพิ่มการสร้าง cyclic AMP</t>
  </si>
  <si>
    <t>Tiotropium Respimat 2.5 mcg 2 puffs OD</t>
  </si>
  <si>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</si>
  <si>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หนึ่งเดือนต่อมา ผู้ป่วยกลับมาพบแพทย์ด้วยอาการหอบที่ยังควบคุมได้ไม่ค่อยดีนัก แพทย์คิดว่าจะเพิ่มยา ยานั้นควรจะเป็นยาอะไร</t>
  </si>
  <si>
    <t>Inhaled ipratropium MDI</t>
  </si>
  <si>
    <t>Inhaled cromolin MDI</t>
  </si>
  <si>
    <t>Oral glucocorticosteroid</t>
  </si>
  <si>
    <t>Inhaled salmeterol MDI</t>
  </si>
  <si>
    <t>Symbicort turbuhaler</t>
  </si>
  <si>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</si>
  <si>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เกี่ยวกับยา theophylline ข้อใดไม่ถูกต้อง</t>
  </si>
  <si>
    <t>มีฤทธิ์ขยายหลอดลมและยังแก้อักเสบได้ด้วย</t>
  </si>
  <si>
    <t>มีช่วงการรักษาที่แคบ (therapeutic range = 5-20 mg/L)</t>
  </si>
  <si>
    <t>อาการไม่พึงประสงค์ที่พบได้คือ ไม่สบายท้อง คลื่นไส้ อาเจียน และอาจเกิด arrhythmia ได้</t>
  </si>
  <si>
    <t>ระดับยา theophylline อาจเพิ่มสูงได้หากใช้ร่วมกับยากันชักพวก phenytoin, phenobarbital, carbamazepine</t>
  </si>
  <si>
    <t>Oral contraceptive สามารถเพิ่ม level ของยา Theophylline ในเลือดได้</t>
  </si>
  <si>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</si>
  <si>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34</t>
  </si>
  <si>
    <t>ยาเหล่านี้มีข้อบ่งใช้สำหรับควบคุมอาการของโรคหอบหืด ยกเว้น</t>
  </si>
  <si>
    <t>Systemic glucocorticosteroid</t>
  </si>
  <si>
    <t>Long acting anticholinergics</t>
  </si>
  <si>
    <t>Methyl xanthine</t>
  </si>
  <si>
    <t>Long acting inhaled beta2 agonist</t>
  </si>
  <si>
    <t>Short acting beta2 agonist</t>
  </si>
  <si>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</si>
  <si>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</si>
  <si>
    <t>ความคลาดเคลื่อนที่เกิดจากการไม่ระบุวิธีใช้ให้ชัดเจน</t>
  </si>
  <si>
    <t>ความคลาดเคลื่อนจากการจ่ายยาผิดชนิด</t>
  </si>
  <si>
    <t>ความคลาดเคลื่อนที่เกิดจากไม่มียาในบัญชียาของโรงพยาบาล</t>
  </si>
  <si>
    <t>ความคลาดเคลื่อนจากการจ่ายยาผิดความแรง</t>
  </si>
  <si>
    <t>ความคลาดเคลื่อนจากการจ่ายยา ผิดความแรง และผิดวิธีใช้</t>
  </si>
  <si>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</si>
  <si>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</si>
  <si>
    <t>ให้พ่นยาเข้าทางจมูก</t>
  </si>
  <si>
    <t>ยานี้เหมาะสำหรับรักษาอาการเฉียบพลัน</t>
  </si>
  <si>
    <t>หลังจากพ่นครั้งแรก ต้องรออย่างน้อย 10 นาที ก่อนที่จะพ่นครั้งที่สอง</t>
  </si>
  <si>
    <t>เนื่องจากยา-1 ขวด สามารถพ่นได้ 200 ครั้ง จึงสามารถใช้ยานี้ได้นานประมาณ 25 วัน</t>
  </si>
  <si>
    <t>ยานี้เป็นยารักษาอาการอักเสบของหลอดลม จึงควรใช้เป็นประจำติดต่อกัน</t>
  </si>
  <si>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</si>
  <si>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</si>
  <si>
    <t>ป้องกันเชื้อราในช่องปาก</t>
  </si>
  <si>
    <t>ลดความเสี่ยงของการเกิดเสียงแหบแห้ง</t>
  </si>
  <si>
    <t>ลดโอกาสการเกิดความดันในลูกตาสูง</t>
  </si>
  <si>
    <t>ลดโอกาสการเกิดหัวใจเต้นเร็ว</t>
  </si>
  <si>
    <t>ลดโอกาสการเกิดอาการมือสั่น</t>
  </si>
  <si>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</si>
  <si>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</si>
  <si>
    <t>ควรเริ่มการรักษาด้วยยาสเตียรอยด์ชนิดพ่น</t>
  </si>
  <si>
    <t>ควรเริ่มการรักษาด้วยยาขยายหลอดลมชนิด beta-agonist</t>
  </si>
  <si>
    <t>ควรเริ่มการรักษาด้วยยาขยายหลอดลมชนิด anticholinergic</t>
  </si>
  <si>
    <t>ผู้ป่วยทุกรายควรได้รับยาสเตียรอยด์ชนิดพ่น สำหรับควบคุมอาการ</t>
  </si>
  <si>
    <t>ผู้ป่วยทุกคนต้องได้รับยาสเตียรอยด์ชนิดกิน</t>
  </si>
  <si>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</si>
  <si>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ข้อใดกล่าวผิดเกี่ยวกับ salmeterol</t>
  </si>
  <si>
    <t>Salmeterol มีข้อบ่งใช้ในการจับหืดที่เกิดขึ้นเฉียบพลัน</t>
  </si>
  <si>
    <t>กลไกการออกฤทธิ์คือกระตุ้นเอนไซม์ adenylate cyclase</t>
  </si>
  <si>
    <t>สามารถใช้กับผู้ป่วยที่มีอาการ nocturnal asthma มากกว่า 1 ครั้ง/สัปดาห์</t>
  </si>
  <si>
    <t>การใช้ยานี้นาน ๆ ทำให้การตอบสนองต่อยาลดลง (tachyphylaxis)</t>
  </si>
  <si>
    <t>หากไม่มี salmeterol สามารถใช้ albuterol แทนได้</t>
  </si>
  <si>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</si>
  <si>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ข้อใดคือกลไกการออกฤทธิ์ของ ipratropium MDI</t>
  </si>
  <si>
    <t>Selective beta2 - adrenergic receptor agonist</t>
  </si>
  <si>
    <t>Phosphodiesterase enzyme inhibitor</t>
  </si>
  <si>
    <t>Muscarinic cholinergic receptor antagonist</t>
  </si>
  <si>
    <t>Immunosuppressive agent</t>
  </si>
  <si>
    <t>Lipoxygenase enzyme inhibitor</t>
  </si>
  <si>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</si>
  <si>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</si>
  <si>
    <t>Sinusitis</t>
  </si>
  <si>
    <t>Bronchitis</t>
  </si>
  <si>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</si>
  <si>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</si>
  <si>
    <t>เนื่องจากจัดเป็นยาควบคุมพิเศษ</t>
  </si>
  <si>
    <t>เนื่องจากจัดเป็นยาที่ลงทะเบียนแบบมีเงื่อนไขต้องติดตามการใช้ในโรงพยาบาล</t>
  </si>
  <si>
    <t>เนื่องจากจัดเป็นยาเสพติดให้โทษ ประเภท 2</t>
  </si>
  <si>
    <t>เนื่องจากจัดเป็นวัตถุออกฤทธิ์ต่อจิตประสาท</t>
  </si>
  <si>
    <t>เนื่องจากจัดเป็นยาอันตราย</t>
  </si>
  <si>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</si>
  <si>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</si>
  <si>
    <t>เพื่อป้องกันปัญหาการดื้อยา</t>
  </si>
  <si>
    <t>เพื่อป้องกันการเกิด hypertension</t>
  </si>
  <si>
    <t>เพื่อป้องกันการเกิด hyperglycemia</t>
  </si>
  <si>
    <t>เพื่อป้องกันการเกิด rebound congestion</t>
  </si>
  <si>
    <t>เพื่อไม่ให้เกิดปัญหา insomnia</t>
  </si>
  <si>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</si>
  <si>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</si>
  <si>
    <t>ขิง</t>
  </si>
  <si>
    <t>เสลดพังพอน</t>
  </si>
  <si>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</si>
  <si>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สมุนไพรแก้ไออื่นๆ นอกจากสมุนไพรข้อข้างต้น
สมุนไพรข้อใดที่มีสรรพคุณช่วยบรรเทาอาการไอ ขับเสมหะ</t>
  </si>
  <si>
    <t>ตะไคร้</t>
  </si>
  <si>
    <t>ดีปลี</t>
  </si>
  <si>
    <t>กะเพรา</t>
  </si>
  <si>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</si>
  <si>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ข้อใดไม่ใช่อาการข้างเคียงของการใช้ยา salbutamol</t>
  </si>
  <si>
    <t>ปัสสาวะคั่ง</t>
  </si>
  <si>
    <t>รับรสผิดปกติ</t>
  </si>
  <si>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</si>
  <si>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การใช้ salbutamol ข้อใดถูกต้อง</t>
  </si>
  <si>
    <t>ใช้ปากอมให้สนิท</t>
  </si>
  <si>
    <t>หายใจเข้าทางจมูก</t>
  </si>
  <si>
    <t>หายใจออกทันที</t>
  </si>
  <si>
    <t>บ้วนปากทันที</t>
  </si>
  <si>
    <t>ไม่ต้องเขย่าขวด</t>
  </si>
  <si>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</si>
  <si>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ข้อใดไม่ถูกต้องเกี่ยวกับ seretide accuhaler</t>
  </si>
  <si>
    <t>พกพาสะดวก</t>
  </si>
  <si>
    <t>ไม่มี propellant</t>
  </si>
  <si>
    <t>ปล่อย 1 dose สูดได้หลายที</t>
  </si>
  <si>
    <t>ไม่อาศัยความสัมพันธ์ระหว่างแรงกดและการหายใจ</t>
  </si>
  <si>
    <t>ใช้ meter dose valve ในการปล่อยตัวยา</t>
  </si>
  <si>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</si>
  <si>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เมื่อใดที่ต้องหยุดใช้ seretide accuhaler ชั่วคราว</t>
  </si>
  <si>
    <t>ไตผิดปกติ</t>
  </si>
  <si>
    <t>ตับผิดปกติ</t>
  </si>
  <si>
    <t>ปอดติดเชื้อ</t>
  </si>
  <si>
    <t>ระคายเคืองปาก</t>
  </si>
  <si>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</si>
  <si>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</si>
  <si>
    <t>ปวดท้อง</t>
  </si>
  <si>
    <t>มองเห็นภาพซ้อน</t>
  </si>
  <si>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</si>
  <si>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</si>
  <si>
    <t>Carbocysteine</t>
  </si>
  <si>
    <t>Ipratropium</t>
  </si>
  <si>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</si>
  <si>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</si>
  <si>
    <t>High dose ICS และ as needed SABA</t>
  </si>
  <si>
    <t>Low dose ICS+ LABA และ as need SABA</t>
  </si>
  <si>
    <t>Medium dose ICS-formoterol maintenance and reliever</t>
  </si>
  <si>
    <t>Low dose ICS-formoterol maintenance and reliever</t>
  </si>
  <si>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</si>
  <si>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 Tiotropium Respimat เป็น add-on therapy สำหรับผู้ป่วยที่ยังควบคุมอาการไม่ได้ใน Step 4 หรือ 5 ไม่ใช่ยาเดี่ยวตัวแรก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</si>
  <si>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COPD / Asthma</t>
  </si>
  <si>
    <t>การใช้ LAMA ในคนไข้ asthma มีประโยชน์อย่างไร</t>
  </si>
  <si>
    <t>เพิ่ม compliance</t>
  </si>
  <si>
    <t>ลดสารคัดหลั่ง</t>
  </si>
  <si>
    <t>เพิ่ม lung function</t>
  </si>
  <si>
    <t>ลด asthma symptoms</t>
  </si>
  <si>
    <t>ลดการใช้ SABA</t>
  </si>
  <si>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</si>
  <si>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ผู้ป่วยAsthma กำลังใช้Salmetarol/Fluticasone คุมอาการดีมากๆไม่ใช้Reliever เลย ใช้ชีวิตปกติไม่มีอาการกลางคืนจัดเป็นการควบคุมแบบใด ตัวเลือก</t>
  </si>
  <si>
    <t>Well control</t>
  </si>
  <si>
    <t>Partial control</t>
  </si>
  <si>
    <t>uncontrolled</t>
  </si>
  <si>
    <t>Poor control</t>
  </si>
  <si>
    <t>Severe uncontrolled</t>
  </si>
  <si>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</si>
  <si>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ต่อจาก56 non pharmaco asthma ตัวเลือก</t>
  </si>
  <si>
    <t>หลีกเลี่ยงสิ่งที่ทำให้แพ้</t>
  </si>
  <si>
    <t>ออกกำลังกายหักโหมในที่อากาศเย็น</t>
  </si>
  <si>
    <t>ใช้พรมปูพื้นและเลี้ยงสัตว์เลี้ยงในห้องนอน</t>
  </si>
  <si>
    <t>เปิดหน้าต่างรับควันบุหรี่และมลภาวะ</t>
  </si>
  <si>
    <t>ใช้น้ำหอมและสเปรย์ปรับอากาศกลิ่นฉุนในห้องนอน</t>
  </si>
  <si>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</si>
  <si>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Copd ออกstage กับgrade FEV = 35 FEV/FVC = 65% ตัวเลือก</t>
  </si>
  <si>
    <t>GOLD 3 (Severe airflow limitation)</t>
  </si>
  <si>
    <t>GOLD 1 (Mild airflow limitation)</t>
  </si>
  <si>
    <t>GOLD 2 (Moderate airflow limitation)</t>
  </si>
  <si>
    <t>GOLD 4 (Very severe airflow limitation)</t>
  </si>
  <si>
    <t>Unclassified</t>
  </si>
  <si>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</si>
  <si>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</si>
  <si>
    <t>Amoxicillin/Clavulanate</t>
  </si>
  <si>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</si>
  <si>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สารช่วยในข้อใดช่วยให้ผงยา tiotropium bromide เปียกง่ายขึ้น (wetting agent) เมื่อผงยาสัมผัสกับของเหลวในทางเดินหายใจ</t>
  </si>
  <si>
    <t>Alginic acid</t>
  </si>
  <si>
    <t>Citric acid</t>
  </si>
  <si>
    <t>Lecithin</t>
  </si>
  <si>
    <t>Calcium stearate</t>
  </si>
  <si>
    <t>Titanium dioxide</t>
  </si>
  <si>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</si>
  <si>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 COPD มีอาการหอบเหนื่อยรุนแรงเฉียบพลัน ยาพ่นสูดในข้อใดเหมาะสมในการบรรเทาอาการกำเริบเฉียบพลัน</t>
  </si>
  <si>
    <t>Ipratropium/Fenoterol MDI</t>
  </si>
  <si>
    <t>Theophylline 200 mg BID</t>
  </si>
  <si>
    <t>Prednisolone 40 mg OD x 5 days</t>
  </si>
  <si>
    <t>N-acetylcysteine 600 mg OD</t>
  </si>
  <si>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</si>
  <si>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การแพ้ยาในลักษณะใดเป็นภาวะที่รุนแรงถึงแก่ชีวิตและห้ามทำ rechallenge ยาแก่ผู้ป่วยโดยเด็ดขาด</t>
  </si>
  <si>
    <t>Toxic epidermal necrolysis (TEN)</t>
  </si>
  <si>
    <t>Macular rash</t>
  </si>
  <si>
    <t>Acneiform drug eruption</t>
  </si>
  <si>
    <t>Urticaria เล็กน้อย</t>
  </si>
  <si>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</si>
  <si>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ข้อใดคืออาการไม่พึงประสงค์ที่พบบ่อย หากผู้ป่วยใช้ salbutamol MDI บ่อยหรือเกินปริมาณที่แนะนำ</t>
  </si>
  <si>
    <t>Tachycardia and Tremor</t>
  </si>
  <si>
    <t>Drowsiness</t>
  </si>
  <si>
    <t>Hypermagnesemia</t>
  </si>
  <si>
    <t>Metabolic alkalosis</t>
  </si>
  <si>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</si>
  <si>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Salbutamol เป็น chiral molecule ที่ประกอบด้วย (R)-salbutamol และ (S)-salbutamol ในอัตราส่วน 50:50 สารผสมในลักษณะนี้เรียกว่าอะไร</t>
  </si>
  <si>
    <t>Racemic mixture</t>
  </si>
  <si>
    <t>Cis/Trans mixture</t>
  </si>
  <si>
    <t>Conformational mixture</t>
  </si>
  <si>
    <t>Diastereomeric mixture</t>
  </si>
  <si>
    <t>Meso compound</t>
  </si>
  <si>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</si>
  <si>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COPD ข้อใดไม่ใช่สาเหตุ เฉลยข้อสอบ PLE-CC1 ครั้งที่12/2564 วันที่ 1-2 : MUPY 50 เฉลยข้อสอบ PLE-CC1 ครั้งที่12/2564 วันที่ 1-2 : MUPY 50</t>
  </si>
  <si>
    <t>การรับประทานอาหารที่มีไขมันสูง</t>
  </si>
  <si>
    <t>การสูบบุหรี่ (Cigarette smoking)</t>
  </si>
  <si>
    <t>มลพิษทางอากาศและควันจากการเผาไหม้ (Air pollution)</t>
  </si>
  <si>
    <t>ภาวะพร่อง Alpha-1 antitrypsin deficiency</t>
  </si>
  <si>
    <t>การสัมผัสฝุ่นและสารเคมีในที่ทำงาน (Occupational dust)</t>
  </si>
  <si>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</si>
  <si>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ข้อไม่ใช่ปัจจัยเสี่ยงกำเริบของ COPD</t>
  </si>
  <si>
    <t>การใช้ยาพ่นจมูกแก้แพ้</t>
  </si>
  <si>
    <t>การติดเชื้อในระบบทางเดินหายใจ (Respiratory tract infection)</t>
  </si>
  <si>
    <t>มลภาวะทางอากาศและฝุ่นละอองขนาดเล็ก (PM2.5)</t>
  </si>
  <si>
    <t>การหยุดยาพ่นขยายหลอดลมควบคุมอาการกะทันหัน</t>
  </si>
  <si>
    <t>การสัมผัสควันบุหรี่มือสอง</t>
  </si>
  <si>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</si>
  <si>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ข้อใดเป็นผลข้างเคียงของ salbutamol</t>
  </si>
  <si>
    <t>Tremor (มือสั่น)</t>
  </si>
  <si>
    <t>Bradycardia (หัวใจเต้นช้า)</t>
  </si>
  <si>
    <t>Diarrhea (ท้องเสีย)</t>
  </si>
  <si>
    <t>Hypotension (ความดันต่ำ)</t>
  </si>
  <si>
    <t>Constipation (ท้องผูก)</t>
  </si>
  <si>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</si>
  <si>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ข้อใดเป็นส่วนประกอบที่สำคัญที่สุดในการขับดันตัวยาออกมาในรูปแบบ aerosol inhalations (MDI)</t>
  </si>
  <si>
    <t>Propellant</t>
  </si>
  <si>
    <t>Glidant</t>
  </si>
  <si>
    <t>Cosolvent</t>
  </si>
  <si>
    <t>Wetting agent</t>
  </si>
  <si>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</si>
  <si>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ขนาดอนุภาคของละอองยา aerosol inhaler ที่สามารถแทรกซึมและดูดซึมเข้าสู่หลอดลมส่วนลึกและถุงลมปอดได้ดีที่สุดคือขนาดใด</t>
  </si>
  <si>
    <t>1 ถึง 5 ไมโครเมตร</t>
  </si>
  <si>
    <t>5 ถึง 30 ไมโครเมตร</t>
  </si>
  <si>
    <t>31 ถึง 49 ไมโครเมตร</t>
  </si>
  <si>
    <t>50 ถึง 100 ไมโครเมตร</t>
  </si>
  <si>
    <t>มากกว่า 100 ไมโครเมตร</t>
  </si>
  <si>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</si>
  <si>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ผู้ป่วยโรคหืดใช้ salbutamol บ่อยครั้งและอาการยังไม่สามารถควบคุมได้ ยาในข้อใดไม่ควรให้เสริมเป็นยาเดี่ยวโดยไม่มี Inhaled Corticosteroid (ICS)</t>
  </si>
  <si>
    <t>Salmeterol monotherapy</t>
  </si>
  <si>
    <t>Inhaled Budesonide</t>
  </si>
  <si>
    <t>Inhaled Fluticasone</t>
  </si>
  <si>
    <t>Budesonide/Formoterol</t>
  </si>
  <si>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</si>
  <si>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ยา tiotropium 18 mcg มี half-life 120 hr, ค่าชีวประสิทธิผล (BA) 20%, Volume of distribution 32 L/kg ระดับความเข้มข้นคงที่ในกระแสเลือด (Css) ที่คาดหวังในผู้ป่วยคือเท่าใด</t>
  </si>
  <si>
    <t>2 ng/L</t>
  </si>
  <si>
    <t>0.2 ng/L</t>
  </si>
  <si>
    <t>10 ng/L</t>
  </si>
  <si>
    <t>18 ng/L</t>
  </si>
  <si>
    <t>20 ng/L</t>
  </si>
  <si>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</si>
  <si>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</si>
  <si>
    <t>Sputum culture</t>
  </si>
  <si>
    <t>Physical Examination</t>
  </si>
  <si>
    <t>Lung function Spirometry</t>
  </si>
  <si>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</si>
  <si>
    <t>ข้อใดคือเกณฑ์ในการวินิจฉัยที่จำเป็นที่สุดในการแยกโรคของผู้ป่วยปอดอักเสบ</t>
  </si>
  <si>
    <t>Blood Culture</t>
  </si>
  <si>
    <t>Sputum Culture</t>
  </si>
  <si>
    <t>Chest-X Ray</t>
  </si>
  <si>
    <t>Serology</t>
  </si>
  <si>
    <t>Arterial blood gas</t>
  </si>
  <si>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</si>
  <si>
    <t>จากโครงสร้างของ salbutamol ที่กำหนดให้ หมู่ฟังก์ชั่นใดที่ทำให้ salbutamol ออกฤทธิ์จำเพาะต่อ β receptor</t>
  </si>
  <si>
    <t>A – hydroxyl group</t>
  </si>
  <si>
    <t>B – methanol group</t>
  </si>
  <si>
    <t>C – aromatic ring</t>
  </si>
  <si>
    <t>D – hydroxyl group</t>
  </si>
  <si>
    <t>E – tert-butyl group</t>
  </si>
  <si>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</si>
  <si>
    <t>ยาพ่นสูด ในรูปแบบ β2-selective adrenergic receptor agonists MDI (metered dose inhalers) ควรมีลักษณะ แบบใด</t>
  </si>
  <si>
    <t>ขนาดอนุภาคของตัวยาควรอยู่ระหว่าง 1-3 μm</t>
  </si>
  <si>
    <t>ขนาดอนุภาคอยู่ระหว่าง 5-10 μm</t>
  </si>
  <si>
    <t>ตัวยาหวังผลให้ไปจับกับ receptor ที่ทางเดินหายใจส่วนปลาย</t>
  </si>
  <si>
    <t>ใช้ lactose เพื่อปรับปรุงรสชาติ</t>
  </si>
  <si>
    <t>นิยมใช้ chlorofluorocarbon เป็นตัวสารขับดัน</t>
  </si>
  <si>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</si>
  <si>
    <t>ข้อใดคือข้อแนะนำของการใช้ Salbutamol MDI</t>
  </si>
  <si>
    <t>หายใจออกทางปาก ช้า ลึก</t>
  </si>
  <si>
    <t>หายใจออกทางปาก เร็ว ลึก</t>
  </si>
  <si>
    <t>หายใจเข้าทางปาก ช้า ลึก</t>
  </si>
  <si>
    <t>หายใจเข้าทางปาก เร็ว ลึก</t>
  </si>
  <si>
    <t>หายใจเข้าทางปาก เร็ว แรง ลึก</t>
  </si>
  <si>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</si>
  <si>
    <t>ในการตั้งตำหรับ Dry powder inhaler (DPI) ข้อใดต่อไปนี้ไม่ถูกต้อง</t>
  </si>
  <si>
    <t>ขนาดอนุภาคตัวยาอยู่ระหว่าง 1-5 ไมครอน</t>
  </si>
  <si>
    <t>รูปแบบยาเป็นสารละลาย หรือ ยาแขวนตะกอน</t>
  </si>
  <si>
    <t>ไม่จำเป็นต้องใช้สารขับดัน</t>
  </si>
  <si>
    <t>ตัวยาเป็นลักษณะผงแห้ง</t>
  </si>
  <si>
    <t>ตัวยาสำคัญมีสมบัติละลายน้ำหรือไม่ละลายน้ำก็ได้</t>
  </si>
  <si>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</si>
  <si>
    <t>ข้อใดกล่าวถึงลักษณะของ Metered dose inhaler (MDI) ได้ถูกต้อง</t>
  </si>
  <si>
    <t>ขนาดอนุภาคที่เหมาะสมคือ 1-10 ไมครอน</t>
  </si>
  <si>
    <t>นิยมใช้สารขับดันเป็น Chloroflurocarbon (CFC)</t>
  </si>
  <si>
    <t>ยาจะผสมกับแก๊สเหลวในลักษณะเป็นสารละลาย หรือ ยาแขวนตะกอน</t>
  </si>
  <si>
    <t>นิยมเติม Lactose เข้าไปเพื่อปรับปรุงรสชาติขณะพ่นสูด</t>
  </si>
  <si>
    <t>ยาจะถูกฉีดพ่นออกทาง mouthpiece</t>
  </si>
  <si>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</si>
  <si>
    <t>หัวข้อใดกล่าวถูกต้องเกี่ยวกับการนำส่งยาทางปอด</t>
  </si>
  <si>
    <t>ขนาดยาที่ใช้ต่ำว่าขนาดรับประทาน</t>
  </si>
  <si>
    <t>ยาบางส่วนถูก first pass-metabolism</t>
  </si>
  <si>
    <t>อาจทำให้เกิดผลข้างเคียง หรืออาการไม่พึงประสงค์จากการใช้ยา เพราะตัวยาเกาะที่เนื้อเยื่อโดยตรง</t>
  </si>
  <si>
    <t>ยาพ่นสูดแบบ DPI จำเป็นต้องกลั้นหายใจขณะใช้ยา เพราะใช้หลักการ Inspiratory flow rate</t>
  </si>
  <si>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</si>
  <si>
    <t>การตรวจร่างกายในผู้ป่วย chronic obstructive pulmonary disease (COPD) จะพบผลตรวจดังนี้
ยกเว้น</t>
  </si>
  <si>
    <t>หายใจเหนื่อยอย่างเรื้อรังและความรุนแรงของอาการเหนื่อยมากขึ้นเรื่อยๆ</t>
  </si>
  <si>
    <t>มีอาการไอแบบเรื้อรัง</t>
  </si>
  <si>
    <t>ค่า FEV1/FVC เพิ่มขึ้น</t>
  </si>
  <si>
    <t>ค่า FEV1/FVC ลดลง</t>
  </si>
  <si>
    <t>ค่า FEV1 ลดลง 22</t>
  </si>
  <si>
    <t>✅ คำตอบที่ถูกต้อง: ข้อ ค. ค่า FEV1/FVC เพิ่มขึ้น
💡 Background:
ข้อสอบความรู้ทางวิชาชีพเภสัชกรรม (มหาวิทยาลัยรังสิต) หัวข้อโรคระบบหายใจ (Asthma &amp; COPD)
🎯 ทำไมข้อนี้ถึงถูก:
ค่า FEV1/FVC เพิ่มขึ้น —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 ข้ออื่นผิดเพราะอะไร:
• ข้อ ก. (หายใจเหนื่อยอย่างเรื้อรังและความรุนแรงของอาการเหนื่อยมากขึ้นเรื่อยๆ): ไม่สอดคล้องกับแนวทางการรักษาตามเกณฑ์ GOLD และ GINA Guidelines สำหรับผู้ป่วยรายนี้
• ข้อ ข. (มีอาการไอแบบเรื้อรัง): ไม่สอดคล้องกับแนวทางการรักษาตามเกณฑ์ GOLD และ GINA Guidelines สำหรับผู้ป่วยรายนี้
• ข้อ ง. (ค่า FEV1/FVC ลดลง): ไม่สอดคล้องกับแนวทางการรักษาตามเกณฑ์ GOLD และ GINA Guidelines สำหรับผู้ป่วยรายนี้
• ข้อ จ. (ค่า FEV1 ลดลง 22):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</si>
  <si>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Asthma/COPD</t>
  </si>
  <si>
    <t>ข้อสอบ ม.รังสิต ข้อ 15</t>
  </si>
  <si>
    <t>ผู้ป่วยในข้อใดต่อไปนี้ที่มีโอกาสเป็น chronic obstructive pulmonary disease (COPD)</t>
  </si>
  <si>
    <t>นาย ก สูบบุหรี่วันละ 25 มวน เป็นเวลา 7 ปี</t>
  </si>
  <si>
    <t>นาย ข สูบบุหรี่วันละ 2 ซอง เป็นเวลา 15 ปี</t>
  </si>
  <si>
    <t>นาย ค สูบบุหรี่วันละ 1 ซอง เป็นเวลา 10 ปี</t>
  </si>
  <si>
    <t>นาย ง สูบบุหรี่วันละ 15 มวน เป็นเวลา 5 ปี</t>
  </si>
  <si>
    <t>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t>
  </si>
  <si>
    <t>✅ คำตอบที่ถูกต้อง: ข้อ ข. นาย ข สูบบุหรี่วันละ 2 ซอง เป็นเวลา 15 ปี
💡 Background:
ข้อสอบความรู้ทางวิชาชีพเภสัชกรรม (มหาวิทยาลัยรังสิต) หัวข้อโรคระบบหายใจ (Asthma &amp; COPD)
🎯 ทำไมข้อนี้ถึงถูก:
นาย ข สูบบุหรี่วันละ 2 ซอง เป็นเวลา 15 ปี —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 ข้ออื่นผิดเพราะอะไร:
• ข้อ ก. (นาย ก สูบบุหรี่วันละ 25 มวน เป็นเวลา 7 ปี): ไม่สอดคล้องกับแนวทางการรักษาตามเกณฑ์ GOLD และ GINA Guidelines สำหรับผู้ป่วยรายนี้
• ข้อ ค. (นาย ค สูบบุหรี่วันละ 1 ซอง เป็นเวลา 10 ปี): ไม่สอดคล้องกับแนวทางการรักษาตามเกณฑ์ GOLD และ GINA Guidelines สำหรับผู้ป่วยรายนี้
• ข้อ ง. (นาย ง สูบบุหรี่วันละ 15 มวน เป็นเวลา 5 ปี): ไม่สอดคล้องกับแนวทางการรักษาตามเกณฑ์ GOLD และ GINA Guidelines สำหรับผู้ป่วยรายนี้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 าหนัก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ชื่อ-สกุลผู้ป่วย ชายไทยคู่ วันและเวลาส่งตรวจ 17 ตุลาคม 2560 วันและเวลารายงาน 17 ตุลาคม 2560 Spirometry Unit Predicted Pre-BD %Pred Post-BD %Pred FEV1 Liter 1.93 1.62 84 1.64 85 FVC Liter 2.63 2.44 93 2.5 95 PEF Liter/s 6.33 4.42 70 3.92 62 FEV6 Liter 2.46 2.38 97 2.44 99 PIF Liter/s - 2.60 - 3.02 - FEV1/FVC % 72.4 66.4 - 65.5 - ผลการทำแบบทดสอบในผู้ป่วยรายนี้เป็นดังนี้ CAT = 12 คะแนน, mMRC = 2, FEV1 = 85 % Predicted GOLD 1 ไม่เคยมีประวัติเข้ารักษาตัวที่โรงพยาบาลเนื่องจากเกิดภาวะหอบกำเริบใน 1 ปีที่ผ่านมา):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</si>
  <si>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16</t>
  </si>
  <si>
    <t>เบื้องต้นสันนิษฐานว่าผู้ป่วยเป็น COPD จากสาเหตุต่อไปนี้ ยกเว้น</t>
  </si>
  <si>
    <t>สูบบุหรี่วันละ 25 มวน ตั้งแต่อายุ 35 ปี</t>
  </si>
  <si>
    <t>ภรรยาสูบบุหรี่ด้วย</t>
  </si>
  <si>
    <t>ดื่มสุรา</t>
  </si>
  <si>
    <t>เป็นโรคความดันโลหิตสูง</t>
  </si>
  <si>
    <t>ค และ ง</t>
  </si>
  <si>
    <t>✅ คำตอบที่ถูกต้อง: ข้อ จ. ค และ ง
💡 Background:
ข้อสอบความรู้ทางวิชาชีพเภสัชกรรม (มหาวิทยาลัยรังสิต) หัวข้อโรคระบบหายใจ (Asthma &amp; COPD)
🎯 ทำไมข้อนี้ถึงถูก:
ค และ ง —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สูบบุหรี่จะเป็น COPD และจำนวนครึ่งหนึ่งของผู้ที่สูบบุหรี่เป็นเวลานานเกือบชั่วชีวิตจะเป็น COPD การอยู่ ใกล้ชิดผู้ที่สูบบุหรี่เป็นสาเหตุของโรคประมาณ 20% การสูบประเภทอื่นๆ อาทิเช่น การสูบกัญชา ซิการ์ และ ไปป์น้ า ก็ถือเป็นปัจจัยเสี่ยงเช่นกัน
🔍 ข้ออื่นผิดเพราะอะไร:
• ข้อ ก. (สูบบุหรี่วันละ 25 มวน ตั้งแต่อายุ 35 ปี): ไม่สอดคล้องกับแนวทางการรักษาตามเกณฑ์ GOLD และ GINA Guidelines สำหรับผู้ป่วยรายนี้
• ข้อ ข. (ภรรยาสูบบุหรี่ด้วย): ไม่สอดคล้องกับแนวทางการรักษาตามเกณฑ์ GOLD และ GINA Guidelines สำหรับผู้ป่วยรายนี้
• ข้อ ค. (ดื่มสุรา): ไม่สอดคล้องกับแนวทางการรักษาตามเกณฑ์ GOLD และ GINA Guidelines สำหรับผู้ป่วยรายนี้
• ข้อ ง. (เป็นโรคความดันโลหิตสูง):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</si>
  <si>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17</t>
  </si>
  <si>
    <t>ผู้ป่วยรายนี้ควรได้รับการรักษาด้วยยาเริ่มแรก (first-choice) ด้วยวิธีใดถึงจะเหมาะสมที่สุด</t>
  </si>
  <si>
    <t>LABA or LAMA</t>
  </si>
  <si>
    <t>LABA and LAMA</t>
  </si>
  <si>
    <t>SABA and/or SAMA theophylline</t>
  </si>
  <si>
    <t>ข และ ค</t>
  </si>
  <si>
    <t>ก, ข และ ค 24</t>
  </si>
  <si>
    <t>✅ คำตอบที่ถูกต้อง: ข้อ ก. LABA or LAMA
💡 Background:
ข้อสอบความรู้ทางวิชาชีพเภสัชกรรม (มหาวิทยาลัยรังสิต) หัวข้อโรคระบบหายใจ (Asthma &amp; COPD)
🎯 ทำไมข้อนี้ถึงถูก:
LABA or LAMA —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 ข้ออื่นผิดเพราะอะไร:
• ข้อ ข. (LABA and LAMA): ไม่สอดคล้องกับแนวทางการรักษาตามเกณฑ์ GOLD และ GINA Guidelines สำหรับผู้ป่วยรายนี้
• ข้อ ค. (SABA and/or SAMA theophylline): ไม่สอดคล้องกับแนวทางการรักษาตามเกณฑ์ GOLD และ GINA Guidelines สำหรับผู้ป่วยรายนี้
• ข้อ ง. (ข และ ค): ไม่สอดคล้องกับแนวทางการรักษาตามเกณฑ์ GOLD และ GINA Guidelines สำหรับผู้ป่วยรายนี้
• ข้อ จ. (ก, ข และ ค 24):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</si>
  <si>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18</t>
  </si>
  <si>
    <t>จากข้อ 18 ยาใดเหมาะสมที่สุดที่ผู้ป่วยรายนี้ควรได้รับ</t>
  </si>
  <si>
    <t>Salbutamol+Terbutaline</t>
  </si>
  <si>
    <t>Salbutamol+Budesonide</t>
  </si>
  <si>
    <t>Salmeterol+Tiotropium</t>
  </si>
  <si>
    <t>Salmeterol or Tiotropium</t>
  </si>
  <si>
    <t>✅ คำตอบที่ถูกต้อง: ข้อ ง. Salmeterol or Tiotropium
💡 Background:
ข้อสอบความรู้ทางวิชาชีพเภสัชกรรม (มหาวิทยาลัยรังสิต) หัวข้อโรคระบบหายใจ (Asthma &amp; COPD)
🎯 ทำไมข้อนี้ถึงถูก:
Salmeterol or Tiotropium —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 ข้ออื่นผิดเพราะอะไร:
• ข้อ ก. (Salbutamol+Terbutaline): ไม่สอดคล้องกับแนวทางการรักษาตามเกณฑ์ GOLD และ GINA Guidelines สำหรับผู้ป่วยรายนี้
• ข้อ ข. (Salbutamol+Budesonide): ไม่สอดคล้องกับแนวทางการรักษาตามเกณฑ์ GOLD และ GINA Guidelines สำหรับผู้ป่วยรายนี้
• ข้อ ค. (Salmeterol+Tiotropium):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</si>
  <si>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19</t>
  </si>
  <si>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</si>
  <si>
    <t>จ่าย salbutamol เพิ่ม</t>
  </si>
  <si>
    <t>จ่าย ICS เพิ่ม</t>
  </si>
  <si>
    <t>จ่าย salmeterol + tiotropium 2 ตัวคู่กัน</t>
  </si>
  <si>
    <t>จ่าย theophylline เพิ่ม</t>
  </si>
  <si>
    <t>✅ คำตอบที่ถูกต้อง: ข้อ ค. จ่าย salmeterol + tiotropium 2 ตัวคู่กัน
💡 Background:
ข้อสอบความรู้ทางวิชาชีพเภสัชกรรม (มหาวิทยาลัยรังสิต) หัวข้อโรคระบบหายใจ (Asthma &amp; COPD)
🎯 ทำไมข้อนี้ถึงถูก:
จ่าย salmeterol + tiotropium 2 ตัวคู่กัน —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bronchodilators เท่านั้น) ซึ่งในที่นี้ไม่ได้ระบุว่าผู้ป่วยไม่ตอบสนองต่อ inhaled bronchodilators จึงตอบ ข้อ ค เพียงข้อเดียว
🔍 ข้ออื่นผิดเพราะอะไร:
• ข้อ ก. (จ่าย salbutamol เพิ่ม): ไม่สอดคล้องกับแนวทางการรักษาตามเกณฑ์ GOLD และ GINA Guidelines สำหรับผู้ป่วยรายนี้
• ข้อ ข. (จ่าย ICS เพิ่ม): ไม่สอดคล้องกับแนวทางการรักษาตามเกณฑ์ GOLD และ GINA Guidelines สำหรับผู้ป่วยรายนี้
• ข้อ ง. (จ่าย theophylline เพิ่ม): ไม่สอดคล้องกับแนวทางการรักษาตามเกณฑ์ GOLD และ GINA Guidelines สำหรับผู้ป่วยรายนี้
• ข้อ จ. (ค และ 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</si>
  <si>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20</t>
  </si>
  <si>
    <t>หลังพ่นยา ให้กลั้วปาก และคอด้วยน้ าแล้วบ้วนทิ้ง</t>
  </si>
  <si>
    <t>หลังพ่นยา ให้ดื่มน้ าตามมากๆ</t>
  </si>
  <si>
    <t>หลังพ่นยา ให้ล้างน้ าทำความสะอาดเครื่องพ่นยาทุกครั้ง</t>
  </si>
  <si>
    <t>✅ คำตอบที่ถูกต้อง: ข้อ ค. หลังพ่นยา ให้กลั้วปาก และคอด้วยน้ าแล้วบ้วนทิ้ง
💡 Background:
ข้อสอบความรู้ทางวิชาชีพเภสัชกรรม (มหาวิทยาลัยรังสิต) หัวข้อโรคระบบหายใจ (Asthma &amp; COPD)
🎯 ทำไมข้อนี้ถึงถูก:
หลังพ่นยา ให้กลั้วปาก และคอด้วยน้ าแล้วบ้วนทิ้ง — หลังพ่นยา ให้กลั้วคอด้วยน้ าแล้วบ้วนทิ้ง เนื่องจากมีตัวยา steroids อาจทำให้เกิดเชื้อราในช่องปาก เสียงแหบ หรือผลข้างเคียงอื่นๆในช่อง ปากและลำคอได้
🔍 ข้ออื่นผิดเพราะอะไร:
• ข้อ ก. (เขย่าขวดก่อนใช้): ไม่สอดคล้องกับแนวทางการรักษาตามเกณฑ์ GOLD และ GINA Guidelines สำหรับผู้ป่วยรายนี้
• ข้อ ข. (เงยหน้าขึ้นสูงขณะพ่นยา): ไม่สอดคล้องกับแนวทางการรักษาตามเกณฑ์ GOLD และ GINA Guidelines สำหรับผู้ป่วยรายนี้
• ข้อ ง. (หลังพ่นยา ให้ดื่มน้ าตามมากๆ): ไม่สอดคล้องกับแนวทางการรักษาตามเกณฑ์ GOLD และ GINA Guidelines สำหรับผู้ป่วยรายนี้
• ข้อ จ. (หลังพ่นยา ให้ล้างน้ าทำความสะอาดเครื่องพ่นยาทุกครั้ง):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</si>
  <si>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21</t>
  </si>
  <si>
    <t>O-atom ตำแหน่งที่ 11 25</t>
  </si>
  <si>
    <t>✅ คำตอบที่ถูกต้อง: ข้อ ค. 9-methyl
💡 Background:
ข้อสอบความรู้ทางวิชาชีพเภสัชกรรม (มหาวิทยาลัยรังสิต) หัวข้อโรคระบบหายใจ (Asthma &amp; COPD)
🎯 ทำไมข้อนี้ถึงถูก:
9-methyl — 9-methyl 1.The steroid is  a mineralocorticoid if it contains no Oxygen function at C11 36 2.Oxygen at C11 is essential for glucocorticoids and alcoholic is superior than ketonic one 3.Introduction of 17 alpha OH increase glucocorticoid activity 4.Introduction of 6 alpha F or 9 alpha F increases both glucocorticoid and mineralocorticoid activity 5.Double bond at C1 increases anti-inflammatory activity and decreases mineralocorticoid effect
🔍 ข้ออื่นผิดเพราะอะไร:
• ข้อ ก. (3-carbonyl): ไม่สอดคล้องกับแนวทางการรักษาตามเกณฑ์ GOLD และ GINA Guidelines สำหรับผู้ป่วยรายนี้
• ข้อ ข. (Double bond ตำแหน่งที่ 4-5): ไม่สอดคล้องกับแนวทางการรักษาตามเกณฑ์ GOLD และ GINA Guidelines สำหรับผู้ป่วยรายนี้
• ข้อ ง. (O-atom ตำแหน่งที่ 11 25): ไม่สอดคล้องกับแนวทางการรักษาตามเกณฑ์ GOLD และ GINA Guidelines สำหรับผู้ป่วยรายนี้
• ข้อ จ. (17-beta ketone-side chain):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</si>
  <si>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22</t>
  </si>
  <si>
    <t>เทคนิคทางโครมาโตรกราฟีใดต่อไปนี้สามารถแยกความแตกต่างระหว่าง theophylline และ
caffeine ได้
caffeine                                     theophylline</t>
  </si>
  <si>
    <t>Chiral chromatography</t>
  </si>
  <si>
    <t>Countercurrent chromatography</t>
  </si>
  <si>
    <t>Ion exchange chromatography</t>
  </si>
  <si>
    <t>Reverse phase chromatography</t>
  </si>
  <si>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</si>
  <si>
    <t>✅ คำตอบที่ถูกต้อง: ข้อ ง. Reverse phase chromatography
💡 Background:
ข้อสอบความรู้ทางวิชาชีพเภสัชกรรม (มหาวิทยาลัยรังสิต) หัวข้อโรคระบบหายใจ (Asthma &amp; COPD)
🎯 ทำไมข้อนี้ถึงถูก:
Reverse phase chromatography — Reverse phase chromatography caffeine และ theophylline มีความใกล้เคียงกันมาก ต่างกันที่ caffeine มี metyl group แต่ theophylline เป็น amine ดังนั้นจึงใช้ liquid liquid chromatography ในการแยก liquid liquid chromatography หรือ partition chromatography เปนวิธีการแยกสารที่ใช ของเหลวเป็นเฟสเคล่ือนที่ และใชของเหลวที่เคลือบอย ูบนของแข็ง เปน เฟสหนึ่งซี่งสามารถเคล่ือนที่ไดอยาง ชา ๆ เพื่อแยกสารออกจากกัน โดยอาศัยความแตกต่างในการละลายของสารตัวอยางในของเหลวซึ่งเปน เฟส นิ่ง และของเหลวที่เปนเฟสเคล่ือนที่ นิยมใชสำหรับแยกสาร ที่มีคุณสมบัติใกลเคียงกันออกจากกัน ตัวอยางเชน การแยกกรดอะมิโนชนิดตาง ๆ ออกจากกัน โดย liquid liquid chromatography จะแบ่ง ออกเป็น 2 ประเภทคือ 1. 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 2. Reverse phase chromatography ใชเฟสนิ่งท่ืมีสภาพขั้วต่ า ตัวอยางเช่น สารอินทรียประเภท n-alkyl ซึ่งมีคารบอน 8 หรือ 18 โมเลกุล เพื่อแยกสารที่มีสภาพขั้วต่ าออกจากกัน และใช้เฟสเคลื่อนที่มีสภาพ ขั้วสูงกวาไส่สารที่ตองการออกมาจากคอลัมน โดยสารที่มีสภาพขั้วต ่ากว่า จะออกมาชากวา
🔍 ข้ออื่นผิดเพราะอะไร:
• ข้อ ก. (Chiral chromatography): ไม่สอดคล้องกับแนวทางการรักษาตามเกณฑ์ GOLD และ GINA Guidelines สำหรับผู้ป่วยรายนี้
• ข้อ ข. (Countercurrent chromatography): ไม่สอดคล้องกับแนวทางการรักษาตามเกณฑ์ GOLD และ GINA Guidelines สำหรับผู้ป่วยรายนี้
• ข้อ ค. (Ion exchange chromatography): ไม่สอดคล้องกับแนวทางการรักษาตามเกณฑ์ GOLD และ GINA Guidelines สำหรับผู้ป่วยรายนี้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</si>
  <si>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23</t>
  </si>
  <si>
    <t>ข้อใดต่อไปนี้ ที่ไม่ถูกต้องเกี่ยวกับการวินิจฉัยโรคข้างต้น</t>
  </si>
  <si>
    <t>มีอาการไอเรื้อรัง</t>
  </si>
  <si>
    <t>มีประวัติการสูบบุหรี่</t>
  </si>
  <si>
    <t>ใช้ GOLD guideline ในการประเมินความรุนแรง</t>
  </si>
  <si>
    <t>มีการตอบสนองภายหลังการใช้ยาขยายหลอดลม น้อยกว่า ร้อยละ 12</t>
  </si>
  <si>
    <t>หลังการใช้ยาขยายหลอดลม จะมีค่า FEV1/FVC เพิ่มขึ้น 26</t>
  </si>
  <si>
    <t>✅ คำตอบที่ถูกต้อง: ข้อ จ. หลังการใช้ยาขยายหลอดลม จะมีค่า FEV1/FVC เพิ่มขึ้น 26
💡 Background:
ข้อสอบความรู้ทางวิชาชีพเภสัชกรรม (มหาวิทยาลัยรังสิต) หัวข้อโรคระบบหายใจ (Asthma &amp; COPD)
🎯 ทำไมข้อนี้ถึงถูก:
หลังการใช้ยาขยายหลอดลม จะมีค่า FEV1/FVC เพิ่มขึ้น 26 — หลังการใช้ยาขยายหลอดลม จะมีค่า FEV1/FVC เพิ่มขึ้น 37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 ข้ออื่นผิดเพราะอะไร:
• ข้อ ก. (มีอาการไอเรื้อรัง): ไม่สอดคล้องกับแนวทางการรักษาตามเกณฑ์ GOLD และ GINA Guidelines สำหรับผู้ป่วยรายนี้
• ข้อ ข. (มีประวัติการสูบบุหรี่): ไม่สอดคล้องกับแนวทางการรักษาตามเกณฑ์ GOLD และ GINA Guidelines สำหรับผู้ป่วยรายนี้
• ข้อ ค. (ใช้ GOLD guideline ในการประเมินความรุนแรง): ไม่สอดคล้องกับแนวทางการรักษาตามเกณฑ์ GOLD และ GINA Guidelines สำหรับผู้ป่วยรายนี้
• ข้อ ง. (มีการตอบสนองภายหลังการใช้ยาขยายหลอดลม น้อยกว่า ร้อยละ 12):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</si>
  <si>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24</t>
  </si>
  <si>
    <t>ข้อใดเป็นผลข้างเคียงของยาพ่น salbutamol</t>
  </si>
  <si>
    <t>Oral trush</t>
  </si>
  <si>
    <t>✅ คำตอบที่ถูกต้อง: ข้อ ก. ใจสั่น
💡 Background:
ข้อสอบความรู้ทางวิชาชีพเภสัชกรรม (มหาวิทยาลัยรังสิต) หัวข้อโรคระบบหายใจ (Asthma &amp; COPD)
🎯 ทำไมข้อนี้ถึงถูก:
ใจสั่น —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 Restlessness - Dizziness - Bronchospasm (inhaled salbutamol only). - Lactic acidosis
🔍 ข้ออื่นผิดเพราะอะไร:
• ข้อ ข. (Hyperkalemia): ไม่สอดคล้องกับแนวทางการรักษาตามเกณฑ์ GOLD และ GINA Guidelines สำหรับผู้ป่วยรายนี้
• ข้อ ค. (Bradycardia): ไม่สอดคล้องกับแนวทางการรักษาตามเกณฑ์ GOLD และ GINA Guidelines สำหรับผู้ป่วยรายนี้
• ข้อ ง. (Oral trush): ไม่สอดคล้องกับแนวทางการรักษาตามเกณฑ์ GOLD และ GINA Guidelines สำหรับผู้ป่วยรายนี้
• ข้อ จ. (Osteoporosis):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</si>
  <si>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25</t>
  </si>
  <si>
    <t>ต่อมาผู้ป่วยอาการไม่ดีขึ้น โดยแพทย์ประเมินว่าอยู่ใน Group B COPD ยาในข้อใดต่อไปนี้ที่ควรได้รับ
เพิ่มเติมจาก salbutamol prn</t>
  </si>
  <si>
    <t>Fenoterol</t>
  </si>
  <si>
    <t>Ipratropium Br</t>
  </si>
  <si>
    <t>Tiotropium Br</t>
  </si>
  <si>
    <t>Sodium cromoglycolate</t>
  </si>
  <si>
    <t>✅ คำตอบที่ถูกต้อง: ข้อ ค. Tiotropium Br
💡 Background:
ข้อสอบความรู้ทางวิชาชีพเภสัชกรรม (มหาวิทยาลัยรังสิต) หัวข้อโรคระบบหายใจ (Asthma &amp; COPD)
🎯 ทำไมข้อนี้ถึงถูก:
Tiotropium Br — Tiotropium Br เหตุผล อาการของผู้ป่วยอยู่ใน Group B COPD ยาที่แนะนำคือ long acting bronchodilator Ref : GOLD guideline2017
🔍 ข้ออื่นผิดเพราะอะไร:
• ข้อ ก. (Fenoterol): ไม่สอดคล้องกับแนวทางการรักษาตามเกณฑ์ GOLD และ GINA Guidelines สำหรับผู้ป่วยรายนี้
• ข้อ ข. (Ipratropium Br): ไม่สอดคล้องกับแนวทางการรักษาตามเกณฑ์ GOLD และ GINA Guidelines สำหรับผู้ป่วยรายนี้
• ข้อ ง. (Budesonide): ไม่สอดคล้องกับแนวทางการรักษาตามเกณฑ์ GOLD และ GINA Guidelines สำหรับผู้ป่วยรายนี้
• ข้อ จ. (Sodium cromoglycolate):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</si>
  <si>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26</t>
  </si>
  <si>
    <t>ข้อใดผิดเกี่ยวกับยาพ่นชนิด MDIs</t>
  </si>
  <si>
    <t>การกดยาและสูดยา ต้องมีความสัมพันธ์กัน</t>
  </si>
  <si>
    <t>ตัวยามักเป็นของเหลว</t>
  </si>
  <si>
    <t>มีการผสมสารขับดัน (propellant)</t>
  </si>
  <si>
    <t>ควรสูดหายใจช้า ๆ และลึก ๆ</t>
  </si>
  <si>
    <t>เครื่องพ่นมีตัวยา จึงไม่ควรล้างน้ า</t>
  </si>
  <si>
    <t>✅ คำตอบที่ถูกต้อง: ข้อ จ. เครื่องพ่นมีตัวยา จึงไม่ควรล้างน้ า
💡 Background:
ข้อสอบความรู้ทางวิชาชีพเภสัชกรรม (มหาวิทยาลัยรังสิต) หัวข้อโรคระบบหายใจ (Asthma &amp; COPD)
🎯 ทำไมข้อนี้ถึงถูก:
เครื่องพ่นมีตัวยา จึงไม่ควรล้างน้ า — เครื่องพ่นมีตัวยา จึงไม่ควรล้างน้ า ยาเป็นผงกระจายตัวในกระสายยาที่เป็นของเหลว และต้องทำความสะอาดปากหลอดด้วยน้ า แต่ต้อง เช็ดด้วยกระดาษซับให้แห้งเสมอ Ref: หนังสือคู่มือทักษะ สภาเภสัชกรรม
🔍 ข้ออื่นผิดเพราะอะไร:
• ข้อ ก. (การกดยาและสูดยา ต้องมีความสัมพันธ์กัน): ไม่สอดคล้องกับแนวทางการรักษาตามเกณฑ์ GOLD และ GINA Guidelines สำหรับผู้ป่วยรายนี้
• ข้อ ข. (ตัวยามักเป็นของเหลว): ไม่สอดคล้องกับแนวทางการรักษาตามเกณฑ์ GOLD และ GINA Guidelines สำหรับผู้ป่วยรายนี้
• ข้อ ค. (มีการผสมสารขับดัน (propellant)): ไม่สอดคล้องกับแนวทางการรักษาตามเกณฑ์ GOLD และ GINA Guidelines สำหรับผู้ป่วยรายนี้
• ข้อ ง. (ควรสูดหายใจช้า ๆ และลึก ๆ):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</si>
  <si>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27</t>
  </si>
  <si>
    <t>ข้อใดถูกต้องเกี่ยวกับ ยา Seretideหaccuhaler (salmeterol + fluticasone)</t>
  </si>
  <si>
    <t>ไม่จำเป็นต้องกลั้วปากและคอหลังพ่นยาเสร็จ</t>
  </si>
  <si>
    <t>แนะนำให้พ่นยาต่อเนื่องทุกวัน เพื่อควบคุมอาการ</t>
  </si>
  <si>
    <t>ควรเขย่าอุปกรณ์ก่อนพ่นยา เพื่อให้สารขับดันออกฤทธิ์ดีขึ้น</t>
  </si>
  <si>
    <t>สามารถใช้พ่นเมื่อเกิดอาการจับหืด เนื่องจากมีการผสมตัวยาแบบออกฤทธิ์เร็วไว้ด้วย</t>
  </si>
  <si>
    <t>ขนาดอนุภาคควรเล็กกว่า 1 ไมโครเมตร เพื่อให้ไม่ตกค้างในช่องปาก 27 หัวข้อเรื่อง Asthma</t>
  </si>
  <si>
    <t>✅ คำตอบที่ถูกต้อง: ข้อ ข. แนะนำให้พ่นยาต่อเนื่องทุกวัน เพื่อควบคุมอาการ
💡 Background:
ข้อสอบความรู้ทางวิชาชีพเภสัชกรรม (มหาวิทยาลัยรังสิต) หัวข้อโรคระบบหายใจ (Asthma &amp; COPD)
🎯 ทำไมข้อนี้ถึงถูก:
แนะนำให้พ่นยาต่อเนื่องทุกวัน เพื่อควบคุมอาการ —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 ข้ออื่นผิดเพราะอะไร:
• ข้อ ก. (ไม่จำเป็นต้องกลั้วปากและคอหลังพ่นยาเสร็จ): ไม่สอดคล้องกับแนวทางการรักษาตามเกณฑ์ GOLD และ GINA Guidelines สำหรับผู้ป่วยรายนี้
• ข้อ ค. (ควรเขย่าอุปกรณ์ก่อนพ่นยา เพื่อให้สารขับดันออกฤทธิ์ดีขึ้น): ไม่สอดคล้องกับแนวทางการรักษาตามเกณฑ์ GOLD และ GINA Guidelines สำหรับผู้ป่วยรายนี้
• ข้อ ง. (สามารถใช้พ่นเมื่อเกิดอาการจับหืด เนื่องจากมีการผสมตัวยาแบบออกฤทธิ์เร็วไว้ด้วย): ไม่สอดคล้องกับแนวทางการรักษาตามเกณฑ์ GOLD และ GINA Guidelines สำหรับผู้ป่วยรายนี้
• ข้อ จ. (ขนาดอนุภาคควรเล็กกว่า 1 ไมโครเมตร เพื่อให้ไม่ตกค้างในช่องปาก 27 หัวข้อเรื่อง Asthma):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</si>
  <si>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28</t>
  </si>
  <si>
    <t>ข้อใดไม่ใช่คำถามที่ใช้ในการประเมินความรุนแรงของผู้ป่วยโรคหืดใน GINA assessment of symptom
control</t>
  </si>
  <si>
    <t>มีอาการจับหืดตอนกลางวันมากกว่า 2 ครั้งต่อสัปดาห์</t>
  </si>
  <si>
    <t>ต้องใช้ยาพ่นขยายหลอดลมมากกว่า 2 ครั้งต่อสัปดาห์</t>
  </si>
  <si>
    <t>อาการรบกวนชีวิตประจำวันหรือไม่</t>
  </si>
  <si>
    <t>ค่า FEV1 สูงกว่า 60% predicted มีความเสี่ยงต่อการเกิด exacerbation มาก</t>
  </si>
  <si>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</si>
  <si>
    <t>✅ คำตอบที่ถูกต้อง: ข้อ ง. ค่า FEV1 สูงกว่า 60% predicted มีความเสี่ยงต่อการเกิด exacerbation มาก
💡 Background:
ข้อสอบความรู้ทางวิชาชีพเภสัชกรรม (มหาวิทยาลัยรังสิต) หัวข้อโรคระบบหายใจ (Asthma &amp; COPD)
🎯 ทำไมข้อนี้ถึงถูก:
ค่า FEV1 สูงกว่า 60% predicted มีความเสี่ยงต่อการเกิด exacerbation มาก — ค่า FEV1 สูงกว่า 60% predicted มีความเสี่ยงต่อการเกิด exacerbation มาก เนื่องจากใน GINA assessment of symptom control ไม่ได้ใช้คำถามนี้ และค่า FEV1 ต้องต่ ากว่า 60% predicted จึงมีความเสี่ยงต่อการเกิด exacerbation มาก
🔍 ข้ออื่นผิดเพราะอะไร:
• ข้อ ก. (มีอาการจับหืดตอนกลางวันมากกว่า 2 ครั้งต่อสัปดาห์): ไม่สอดคล้องกับแนวทางการรักษาตามเกณฑ์ GOLD และ GINA Guidelines สำหรับผู้ป่วยรายนี้
• ข้อ ข. (ต้องใช้ยาพ่นขยายหลอดลมมากกว่า 2 ครั้งต่อสัปดาห์): ไม่สอดคล้องกับแนวทางการรักษาตามเกณฑ์ GOLD และ GINA Guidelines สำหรับผู้ป่วยรายนี้
• ข้อ ค. (อาการรบกวนชีวิตประจำวันหรือไม่): ไม่สอดคล้องกับแนวทางการรักษาตามเกณฑ์ GOLD และ GINA Guidelines สำหรับผู้ป่วยรายนี้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</si>
  <si>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29</t>
  </si>
  <si>
    <t>จากกรณีศึกษาดังกล่าว ควรพิจารณาเปลี่ยนแปลงการรักษาใดให้ผู้ป่วยหรือไม่</t>
  </si>
  <si>
    <t>ควรพิจารณาการ step down</t>
  </si>
  <si>
    <t>ควรพิจารณาการ step up</t>
  </si>
  <si>
    <t>ไม่ต้องเปลี่ยนแปลงการรักษา</t>
  </si>
  <si>
    <t>เปลี่ยนจาก salbutamol ไปใช้ salmeterol</t>
  </si>
  <si>
    <t>ตัด theophylline ออก</t>
  </si>
  <si>
    <t>✅ คำตอบที่ถูกต้อง: ข้อ ข. ควรพิจารณาการ step up
💡 Background:
ข้อสอบความรู้ทางวิชาชีพเภสัชกรรม (มหาวิทยาลัยรังสิต) หัวข้อโรคระบบหายใจ (Asthma &amp; COPD)
🎯 ทำไมข้อนี้ถึงถูก:
ควรพิจารณาการ step up —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 ข้ออื่นผิดเพราะอะไร:
• ข้อ ก. (ควรพิจารณาการ step down): ไม่สอดคล้องกับแนวทางการรักษาตามเกณฑ์ GOLD และ GINA Guidelines สำหรับผู้ป่วยรายนี้
• ข้อ ค. (ไม่ต้องเปลี่ยนแปลงการรักษา): ไม่สอดคล้องกับแนวทางการรักษาตามเกณฑ์ GOLD และ GINA Guidelines สำหรับผู้ป่วยรายนี้
• ข้อ ง. (เปลี่ยนจาก salbutamol ไปใช้ salmeterol): ไม่สอดคล้องกับแนวทางการรักษาตามเกณฑ์ GOLD และ GINA Guidelines สำหรับผู้ป่วยรายนี้
• ข้อ จ. (ตัด theophylline ออก):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</si>
  <si>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30</t>
  </si>
  <si>
    <t>เมื่อเลือกการรักษาจากข้อ 30 แล้ว คิดว่าควรให้ยาในข้อใด</t>
  </si>
  <si>
    <t>Beclometasone dipropionate 200 mcg + Salbutamol</t>
  </si>
  <si>
    <t>Fluticasone propionate 200 mcg + Symbicortห (Budesonide/Formoterol)</t>
  </si>
  <si>
    <t>Omalizumab + Symbicortห (Budesonide/Formoterol)</t>
  </si>
  <si>
    <t>Fluticasone propionate 400 mcg +  Symbicortห ( Budesonide/ Formoterol)  + Tiotropium</t>
  </si>
  <si>
    <t>Beclometasone dipropionate 200 mcg เพียงอย่างเดียว 28</t>
  </si>
  <si>
    <t>✅ คำตอบที่ถูกต้อง: ข้อ ข. Fluticasone propionate 200 mcg + Symbicortห (Budesonide/Formoterol)
💡 Background:
ข้อสอบความรู้ทางวิชาชีพเภสัชกรรม (มหาวิทยาลัยรังสิต) หัวข้อโรคระบบหายใจ (Asthma &amp; COPD)
🎯 ทำไมข้อนี้ถึงถูก:
Fluticasone propionate 200 mcg + Symbicortห (Budesonide/Formoterol) —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 ข้ออื่นผิดเพราะอะไร:
• ข้อ ก. (Beclometasone dipropionate 200 mcg + Salbutamol): ไม่สอดคล้องกับแนวทางการรักษาตามเกณฑ์ GOLD และ GINA Guidelines สำหรับผู้ป่วยรายนี้
• ข้อ ค. (Omalizumab + Symbicortห (Budesonide/Formoterol)): ไม่สอดคล้องกับแนวทางการรักษาตามเกณฑ์ GOLD และ GINA Guidelines สำหรับผู้ป่วยรายนี้
• ข้อ ง. (Fluticasone propionate 400 mcg +  Symbicortห ( Budesonide/ Formoterol)  + Tiotropium): ไม่สอดคล้องกับแนวทางการรักษาตามเกณฑ์ GOLD และ GINA Guidelines สำหรับผู้ป่วยรายนี้
• ข้อ จ. (Beclometasone dipropionate 200 mcg เพียงอย่างเดียว 28):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</si>
  <si>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31</t>
  </si>
  <si>
    <t>ข้อใดผิดเกี่ยวกับหลักการพิจารณาการ step down</t>
  </si>
  <si>
    <t>ผู้ป่วยสามารถควบคุมอาการได้อย่างน้อย 3 เดือน</t>
  </si>
  <si>
    <t>ไม่อยู่ระหว่างการตั้งครรภ์</t>
  </si>
  <si>
    <t>บันทึก baseline status</t>
  </si>
  <si>
    <t>หยุด ICS ทันที</t>
  </si>
  <si>
    <t>พิจารณา step down ในขณะที่ไม่อยู่ระหว่างการติดเชื้อทางเดินหายใจในระหว่างการท่องเที่ยว</t>
  </si>
  <si>
    <t>✅ คำตอบที่ถูกต้อง: ข้อ ง. หยุด ICS ทันที
💡 Background:
ข้อสอบความรู้ทางวิชาชีพเภสัชกรรม (มหาวิทยาลัยรังสิต) หัวข้อโรคระบบหายใจ (Asthma &amp; COPD)
🎯 ทำไมข้อนี้ถึงถูก:
หยุด ICS ทันที — หยุด ICS ทันที เนื่องจารการหยุด ICS ควรค่อยๆปรับ dose ลง ไม่ควรหยุดในทันที
🔍 ข้ออื่นผิดเพราะอะไร:
• ข้อ ก. (ผู้ป่วยสามารถควบคุมอาการได้อย่างน้อย 3 เดือน): ไม่สอดคล้องกับแนวทางการรักษาตามเกณฑ์ GOLD และ GINA Guidelines สำหรับผู้ป่วยรายนี้
• ข้อ ข. (ไม่อยู่ระหว่างการตั้งครรภ์): ไม่สอดคล้องกับแนวทางการรักษาตามเกณฑ์ GOLD และ GINA Guidelines สำหรับผู้ป่วยรายนี้
• ข้อ ค. (บันทึก baseline status): ไม่สอดคล้องกับแนวทางการรักษาตามเกณฑ์ GOLD และ GINA Guidelines สำหรับผู้ป่วยรายนี้
• ข้อ จ. (พิจารณา step down ในขณะที่ไม่อยู่ระหว่างการติดเชื้อทางเดินหายใจในระหว่างการท่องเที่ยว):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</si>
  <si>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32</t>
  </si>
  <si>
    <t>ข้อใดไม่ใช่ short-acting beta 2 agonist</t>
  </si>
  <si>
    <t>Terbutaline</t>
  </si>
  <si>
    <t>Procaterol</t>
  </si>
  <si>
    <t>Bambuterol</t>
  </si>
  <si>
    <t>Salmeterol</t>
  </si>
  <si>
    <t>✅ คำตอบที่ถูกต้อง: ข้อ จ. Salmeterol
💡 Background:
ข้อสอบความรู้ทางวิชาชีพเภสัชกรรม (มหาวิทยาลัยรังสิต) หัวข้อโรคระบบหายใจ (Asthma &amp; COPD)
🎯 ทำไมข้อนี้ถึงถูก:
Salmeterol — Salmeterol เนื่องจาก Salmeterol เป็น long-acting beta 2 agonist
🔍 ข้ออื่นผิดเพราะอะไร:
• ข้อ ก. (Fenoterol): ไม่สอดคล้องกับแนวทางการรักษาตามเกณฑ์ GOLD และ GINA Guidelines สำหรับผู้ป่วยรายนี้
• ข้อ ข. (Terbutaline): ไม่สอดคล้องกับแนวทางการรักษาตามเกณฑ์ GOLD และ GINA Guidelines สำหรับผู้ป่วยรายนี้
• ข้อ ค. (Procaterol): ไม่สอดคล้องกับแนวทางการรักษาตามเกณฑ์ GOLD และ GINA Guidelines สำหรับผู้ป่วยรายนี้
• ข้อ ง. (Bambuterol):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</si>
  <si>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33</t>
  </si>
  <si>
    <t>ข้อใดถูกต้องเกี่ยวกับการใช้ beta2 agonist ในโรคหืด</t>
  </si>
  <si>
    <t>ใช้เพื่อป้องกันอาการเท่านั้น</t>
  </si>
  <si>
    <t>ความถี่ของการใช้ short-acting beta-2 agonist เป็นตัวบ่งบอกถึงผลการรักษา</t>
  </si>
  <si>
    <t>อาจทำให้ดื้อยาหากใช้เป็นประจำ</t>
  </si>
  <si>
    <t>มีประสิทธิภาพมากที่สุด ใช้เป็นยาควบคุม และลดอาการกำเริบของหอบหืดเฉียบพลัน</t>
  </si>
  <si>
    <t>เพิ่มความเสี่ยงการเสียชีวิตหากใช้เป็นประจำ</t>
  </si>
  <si>
    <t>✅ คำตอบที่ถูกต้อง: ข้อ ข. ความถี่ของการใช้ short-acting beta-2 agonist เป็นตัวบ่งบอกถึงผลการรักษา
💡 Background:
ข้อสอบความรู้ทางวิชาชีพเภสัชกรรม (มหาวิทยาลัยรังสิต) หัวข้อโรคระบบหายใจ (Asthma &amp; COPD)
🎯 ทำไมข้อนี้ถึงถูก:
ความถี่ของการใช้ short-acting beta-2 agonist เป็นตัวบ่งบอกถึงผลการรักษา — ความถี่ของการใช้ short-acting beta-2 agonist เป็นตัวบ่งบอกถึงผลการรักษา 39 เนื่องจากความถี่ในการใช้ short-acting beta2 agonist บอกถึงความสามารถในการควบคุมอาการ ของผู้ป่วยได้
🔍 ข้ออื่นผิดเพราะอะไร:
• ข้อ ก. (ใช้เพื่อป้องกันอาการเท่านั้น): ไม่สอดคล้องกับแนวทางการรักษาตามเกณฑ์ GOLD และ GINA Guidelines สำหรับผู้ป่วยรายนี้
• ข้อ ค. (อาจทำให้ดื้อยาหากใช้เป็นประจำ): ไม่สอดคล้องกับแนวทางการรักษาตามเกณฑ์ GOLD และ GINA Guidelines สำหรับผู้ป่วยรายนี้
• ข้อ ง. (มีประสิทธิภาพมากที่สุด ใช้เป็นยาควบคุม และลดอาการกำเริบของหอบหืดเฉียบพลัน): ไม่สอดคล้องกับแนวทางการรักษาตามเกณฑ์ GOLD และ GINA Guidelines สำหรับผู้ป่วยรายนี้
• ข้อ จ. (เพิ่มความเสี่ยงการเสียชีวิตหากใช้เป็นประจำ):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</si>
  <si>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34</t>
  </si>
  <si>
    <t>ข้อใดคือกลไกการออกฤทธิ์ของยา Theophylline ในการขยายหลอดลม</t>
  </si>
  <si>
    <t>กระตุ้น β2-adrenergic receptor ที่กล้ามเนื้อเรียบของหลอดลม ทำให้ Adenylyl cyclase เพิ่มขึ้น</t>
  </si>
  <si>
    <t>ยับยั้งเอนไซม์ Phosphodiesterase</t>
  </si>
  <si>
    <t>จับกับ M3 receptor ที่กล้ามเนื้อเรียบของหลอดลม</t>
  </si>
  <si>
    <t>ยับยั้งเอนไซม์ 5-Lipoxygenase</t>
  </si>
  <si>
    <t>ออกฤทธิ์เป็น Leukotriene receptor antagonist</t>
  </si>
  <si>
    <t>✅ คำตอบที่ถูกต้อง: ข้อ ข. ยับยั้งเอนไซม์ Phosphodiesterase
💡 Background:
ข้อสอบความรู้ทางวิชาชีพเภสัชกรรม (มหาวิทยาลัยรังสิต) หัวข้อโรคระบบหายใจ (Asthma &amp; COPD)
🎯 ทำไมข้อนี้ถึงถูก:
ยับยั้งเอนไซม์ Phosphodiesterase —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 ข้ออื่นผิดเพราะอะไร:
• ข้อ ก. (กระตุ้น β2-adrenergic receptor ที่กล้ามเนื้อเรียบของหลอดลม ทำให้ Adenylyl cyclase เพิ่มขึ้น): ไม่สอดคล้องกับแนวทางการรักษาตามเกณฑ์ GOLD และ GINA Guidelines สำหรับผู้ป่วยรายนี้
• ข้อ ค. (จับกับ M3 receptor ที่กล้ามเนื้อเรียบของหลอดลม): ไม่สอดคล้องกับแนวทางการรักษาตามเกณฑ์ GOLD และ GINA Guidelines สำหรับผู้ป่วยรายนี้
• ข้อ ง. (ยับยั้งเอนไซม์ 5-Lipoxygenase): ไม่สอดคล้องกับแนวทางการรักษาตามเกณฑ์ GOLD และ GINA Guidelines สำหรับผู้ป่วยรายนี้
• ข้อ จ. (ออกฤทธิ์เป็น Leukotriene receptor antagonist):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</si>
  <si>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35</t>
  </si>
  <si>
    <t>ข้อใดไม่ใช่กลไกลการออกฤทธิ์ของยากลุ่ม Inhaled corticosteroids</t>
  </si>
  <si>
    <t>ต้าน IgE</t>
  </si>
  <si>
    <t>ป้องกันการสร้างและหลั่ง cytokine</t>
  </si>
  <si>
    <t>กระตุ้นกระบวนการสร้าง leukotriene</t>
  </si>
  <si>
    <t>รบกวนกระบวนการสร้าง prostaglandin 29</t>
  </si>
  <si>
    <t>รบกวน arachidonic acid metabolism</t>
  </si>
  <si>
    <t>✅ คำตอบที่ถูกต้อง: ข้อ ค. กระตุ้นกระบวนการสร้าง leukotriene
💡 Background:
ข้อสอบความรู้ทางวิชาชีพเภสัชกรรม (มหาวิทยาลัยรังสิต) หัวข้อโรคระบบหายใจ (Asthma &amp; COPD)
🎯 ทำไมข้อนี้ถึงถูก:
กระตุ้นกระบวนการสร้าง leukotriene —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 ข้ออื่นผิดเพราะอะไร:
• ข้อ ก. (ต้าน IgE): ไม่สอดคล้องกับแนวทางการรักษาตามเกณฑ์ GOLD และ GINA Guidelines สำหรับผู้ป่วยรายนี้
• ข้อ ข. (ป้องกันการสร้างและหลั่ง cytokine): ไม่สอดคล้องกับแนวทางการรักษาตามเกณฑ์ GOLD และ GINA Guidelines สำหรับผู้ป่วยรายนี้
• ข้อ ง. (รบกวนกระบวนการสร้าง prostaglandin 29): ไม่สอดคล้องกับแนวทางการรักษาตามเกณฑ์ GOLD และ GINA Guidelines สำหรับผู้ป่วยรายนี้
• ข้อ จ. (รบกวน arachidonic acid metabolism):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</si>
  <si>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36</t>
  </si>
  <si>
    <t>ข้อใดผิดเกี่ยวกับอาการไม่พึงประสงค์ของยากลุ่ม Inhaled corticosteroids</t>
  </si>
  <si>
    <t>ข.                                  ค.</t>
  </si>
  <si>
    <t>ปากแห้ง คอแห้ง</t>
  </si>
  <si>
    <t>มีอาการเสียงแหบ</t>
  </si>
  <si>
    <t>จ.</t>
  </si>
  <si>
    <t>เกิดเชื้อราในช่องปาก จากโครงสร้างให้เลือกตอบข้อ 38 – 39</t>
  </si>
  <si>
    <t>✅ คำตอบที่ถูกต้อง: ข้อ ก. ข.                                  ค.
💡 Background:
ข้อสอบความรู้ทางวิชาชีพเภสัชกรรม (มหาวิทยาลัยรังสิต) หัวข้อโรคระบบหายใจ (Asthma &amp; COPD)
🎯 ทำไมข้อนี้ถึงถูก:
ข.                                  ค. —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 าเสมอ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 ข้ออื่นผิดเพราะอะไร:
• ข้อ ข. (ปากแห้ง คอแห้ง): ไม่สอดคล้องกับแนวทางการรักษาตามเกณฑ์ GOLD และ GINA Guidelines สำหรับผู้ป่วยรายนี้
• ข้อ ค. (มีอาการเสียงแหบ): ไม่สอดคล้องกับแนวทางการรักษาตามเกณฑ์ GOLD และ GINA Guidelines สำหรับผู้ป่วยรายนี้
• ข้อ ง. (จ.): ไม่สอดคล้องกับแนวทางการรักษาตามเกณฑ์ GOLD และ GINA Guidelines สำหรับผู้ป่วยรายนี้
• ข้อ จ. (เกิดเชื้อราในช่องปาก จากโครงสร้างให้เลือกตอบข้อ 38 – 39): ไม่สอดคล้องกับแนวทางการรักษาตามเกณฑ์ GOLD และ GINA Guidelines สำหรับผู้ป่วยรายนี้
📖 Guideline อ้างอิง:
แนวทางการวินิจฉัยและรักษาโรคหืด/COPD ในประเทศไทย &amp; GINA / GOLD Guidelines
📌 จุดจำก่อนสอบ:
• จำแนก COPD Group A/B/E, การ Step up/Step down ยาหืด, กลไกของ Theophylline (PDE inhibition) และขนาดยาที่เหมาะสม</t>
  </si>
  <si>
    <t>ข้อสอบ ม.รังสิต ข้อ 37</t>
  </si>
  <si>
    <t>จากโครงสร้าง salmeterol และ formoterol ซึ่งเป็นยากลุ่ม long-acting beta-2 agonist ข้อใดถูกต้อง</t>
  </si>
  <si>
    <t>Salmeterol ออกฤทธิ์เร็วกว่า formoterol เพราะ lipophilicity สูงกว่า</t>
  </si>
  <si>
    <t>Salmeterol ออกฤทธิ์เร็วกว่า formoterol เพราะ lipophilicity ต่ำกว่า</t>
  </si>
  <si>
    <t>Formoterol ออกฤทธิ์เร็วกว่า salmeterol เพราะ lipophilicity สูงกว่า</t>
  </si>
  <si>
    <t>Formoterol ออกฤทธิ์เร็วกว่า salmeterol เพราะ lipophilicity ต่ำกว่า (ละลายน้ำได้ปานกลาง เข้าสู่ receptor ได้เร็วกว่า)</t>
  </si>
  <si>
    <t>การออกฤทธิ์เร็วหรือช้าไม่เกี่ยวข้องกับคุณสมบัติ lipophilicity ของตัวยา</t>
  </si>
  <si>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</si>
  <si>
    <t>ข้อสอบมาตรฐาน PLE-CC</t>
  </si>
  <si>
    <t>ผลตรวจทางห้องปฏิบัติการในข้อใดบ่งชี้ว่าผู้ป่วยไม่ได้เป็นโรคปอดอุดกั้นเรื้อรัง (COPD)</t>
  </si>
  <si>
    <t>FEV1/FVC &gt; 0.70 หลังพ่นยาขยายหลอดลม</t>
  </si>
  <si>
    <t>มีค่า Post-bronchodilator FEV1 = 60% ของค่ามาตรฐาน</t>
  </si>
  <si>
    <t>ตรวจพบ Eosinophil ในเลือดสูง</t>
  </si>
  <si>
    <t>มีประวัติโรคประจำตัวเป็น Allergic rhinitis ร่วมด้วย</t>
  </si>
  <si>
    <t>มีอาการไอเรื้อรัง หอบเหนื่อย และมีเสมหะต่อเนื่อง</t>
  </si>
  <si>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</si>
  <si>
    <t>ข้อใดไม่ใช่ผลข้างเคียงของยาพ่นสูด Inhaled Salmeterol ร่วมกับ Inhaled Fluticasone (Seretide)</t>
  </si>
  <si>
    <t>ใจสั่น (Palpitations จากฤทธิ์กระตุ้น beta adrenergic)</t>
  </si>
  <si>
    <t>มือสั่น (Tremor จากการกระตุ้น beta-2 receptor ที่กล้ามเนื้อลาย)</t>
  </si>
  <si>
    <t>ติดเชื้อราในช่องปาก (Oral candidiasis จากสเตียรอยด์พ่นสูด)</t>
  </si>
  <si>
    <t>เสียงแหบ (Dysphonia จากการระคายเคืองและ myopathy ที่กล่องเสียง)</t>
  </si>
  <si>
    <t>ปากแห้ง คอแห้ง รุนแรงจากการกดระบบประสาทพาราซิมพาเทติก</t>
  </si>
  <si>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</si>
  <si>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</si>
  <si>
    <t>สภาพภูมิอากาศและมลพิษทางอากาศภายนอกโรงงาน</t>
  </si>
  <si>
    <t>ประวัติการสูบบุหรี่ในอดีตที่เลิกไปแล้ว 10 ปี</t>
  </si>
  <si>
    <t>ภาวะอ้วนและดัชนีมวลกายที่สูงเกินเกณฑ์</t>
  </si>
  <si>
    <t>ขนาดยาควบคุมอาการ Inhaled Corticosteroid (ICS) ที่ไม่เหมาะสมและการตรวจสอบเทคนิคการพ่นยา</t>
  </si>
  <si>
    <t>เพศหญิงและอายุที่เข้าสู่วัยหมดประจำเดือน</t>
  </si>
  <si>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</si>
  <si>
    <t>ข้อใดอธิบายกลไกการออกฤทธิ์ระดับเซลล์ของยา Salmeterol ได้อย่างถูกต้อง</t>
  </si>
  <si>
    <t>กระตุ้น Phospholipase C เพิ่มการหลั่ง intracellular Calcium</t>
  </si>
  <si>
    <t>กระตุ้น Adenylyl cyclase เพิ่มระดับ cyclic AMP (cAMP) ในเซลล์กล้ามเนื้อเรียบหลอดลม</t>
  </si>
  <si>
    <t>ยับยั้งเอนไซม์ Phosphodiesterase (PDE) ลดการสลายตัวของ cyclic GMP</t>
  </si>
  <si>
    <t>ปิดกั้นตัวรับ Muscarinic M3 receptor ยับยั้งการหดเกร็งของหลอดลม</t>
  </si>
  <si>
    <t>กระตุ้นการเปิด Voltage-gated Calcium channels ในเซลล์ทางเดินหายใจ</t>
  </si>
  <si>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</si>
  <si>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</si>
  <si>
    <t>GOLD 1</t>
  </si>
  <si>
    <t>GOLD 2</t>
  </si>
  <si>
    <t>GOLD 3</t>
  </si>
  <si>
    <t>GOLD 4</t>
  </si>
  <si>
    <t>GOLD 5</t>
  </si>
  <si>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</si>
  <si>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61 (Pharmtutor_2024_Set1.md)</t>
  </si>
  <si>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</si>
  <si>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</si>
  <si>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44 (Pharmtutor_2024_Set2.md)</t>
  </si>
  <si>
    <t>โดยผู้ป่วยดังกล่าวมีการวัดสมรรถปอดได้ค่า FEV1 เท่ากับ 68 mMRc = 3 ผู้ป่วยรายนี้จัดมีการทำงานของปอดอยู่ระดับใดตาม GOLD guildline</t>
  </si>
  <si>
    <t>Gold 1</t>
  </si>
  <si>
    <t>Gold 2</t>
  </si>
  <si>
    <t>Gold 3</t>
  </si>
  <si>
    <t>Gold 4</t>
  </si>
  <si>
    <t>Gold 5</t>
  </si>
  <si>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</si>
  <si>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59 (Pharmtutor_2024_Set2.md)</t>
  </si>
  <si>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</si>
  <si>
    <t>3 g Myristyl alcohol 33.3 g</t>
  </si>
  <si>
    <t>Furosemide 40 mg OD</t>
  </si>
  <si>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</si>
  <si>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</si>
  <si>
    <t>Lynestrenol</t>
  </si>
  <si>
    <t>Ethinyl estradiol + levonorgestrel</t>
  </si>
  <si>
    <t>Ethinyl estradiol + desogestrel</t>
  </si>
  <si>
    <t>Ethinyl estradiol + gestodene</t>
  </si>
  <si>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</si>
  <si>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Oral contraceptive</t>
  </si>
  <si>
    <t>ข้อ 1 Pharma Plus เล่มม่วง (เฉลยข้อ ก)</t>
  </si>
  <si>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</si>
  <si>
    <t>ไม่จำเป็นต้องคุมกำเนิดฉุกเฉิน เพราะช่วงเวลาที่มีเพศสัมพันธ์นั้นอยู่ในระยะปลอดภัย</t>
  </si>
  <si>
    <t>ให้รอดทดสอบการตั้งครรภ์ เพราะเลยระยะเวลาที่ยาคุมกำเนิดฉุกเฉินจะมีประสิทธิภาพ</t>
  </si>
  <si>
    <t>Ethinyl estradiol 2.5 mg วันละ 2 ครั้งเป็นเวลา 3 วัน</t>
  </si>
  <si>
    <t>Levonorgestrel 0.75 mg 2 เม็ด 2 ครั้งห่างกันไม่เกิน 12 ชม.</t>
  </si>
  <si>
    <t>ยาคุมที่มี ethinyl estradiol 50 mcg + levonorgestrel 0.25 mg 1 เม็ด 2 ครั้งห่างกันไม่เกิน 12 ชม.</t>
  </si>
  <si>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</si>
  <si>
    <t>ข้อ 2 Pharma Plus เล่มม่วง (เฉลยข้อ )</t>
  </si>
  <si>
    <t>ใช้ยาคุมที่มี ethinyl estradiol ไม่มีปัญหาในการเกิดปฏิกิริยาระหว่างยากรณีใดบ้าง</t>
  </si>
  <si>
    <t>ในผู้ป่วยวัณโรคที่ใช้ rifampin อย่างต่อเนื่อง</t>
  </si>
  <si>
    <t>ในผู้ป่วยที่ได้รับ corticosteroid เป็นเวลาหลายเดือน</t>
  </si>
  <si>
    <t>ในผู้ป่วยที่ได้รับ barbiturate อย่างต่อเนื่อง</t>
  </si>
  <si>
    <t>ในผู้ป่วยที่ใช้ยา phenytoin ป้องกันการชัก</t>
  </si>
  <si>
    <t>ในผู้ป่วยที่ได้รับ aspirin อย่างต่อเนื่อง</t>
  </si>
  <si>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</si>
  <si>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ข้อใดไม่ถูกต้องเกี่ยวกับ ethinyl estradiol + levonorgestrel</t>
  </si>
  <si>
    <t>Ethinyl estradiol เป็นยาในกลุ่ม estrogen</t>
  </si>
  <si>
    <t>Levonorgestrel เป็นยาในกลุ่ม progestins</t>
  </si>
  <si>
    <t>การให้ ethinyl estradiol 0.03 mg + levonorgestrel 0.15 mg ในทุกเม็ดของการให้แบบ biphasic combination โดยมียา 2 ชนิดในแผง</t>
  </si>
  <si>
    <t>Levonorgestrel 1.5 mg stat (Emergency)</t>
  </si>
  <si>
    <t>Levonorgestrel เป็น isomer หนึ่งของ norgestrel</t>
  </si>
  <si>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</si>
  <si>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ข้อใดผิดเกี่ยวกับยาคุมกำเนิด 2 ชนิดนี้
- Lynestrenol
- Norethindrone
ข้อใดผิดเกี่ยวกับยาคุมกำเนิด 2 ชนิดนี้</t>
  </si>
  <si>
    <t>Lynestrenol เป็นยาในกลุ่ม estrogen</t>
  </si>
  <si>
    <t>Norethindrone เป็นยาในกลุ่ม progestins</t>
  </si>
  <si>
    <t>Norethindrone มีผล androgenic effect เพราะมีโครงสร้างคล้ายกับ testosterone</t>
  </si>
  <si>
    <t>Lynestrenol มีผล androgenic effect ต่ำกว่า norethindrone</t>
  </si>
  <si>
    <t>หมู่ -C≡CH ในโครงสร้างทั้ง 2 ชนิดนี้จะขัดขวางการเกิด oxidation ของหมู่ -OH ไปเป็น ketone</t>
  </si>
  <si>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</si>
  <si>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Rx. Levonorgestrel 0.75 mg/tab จำนวน 2 กล่อง
คำแนะนำของการใช้ยาคุมกำเนิดฉุกเฉินข้อใดถูกต้อง</t>
  </si>
  <si>
    <t>กินครั้งเดียว 2 เม็ด</t>
  </si>
  <si>
    <t>กินเม็ดแรก 1 ชม. เม็ดที่ 2 ภายใน 48 ชม.</t>
  </si>
  <si>
    <t>กิน 1 เม็ดแรก ภายใน 72 ชม. เม็ดที่ 2 ภายใน 12 ชม.</t>
  </si>
  <si>
    <t>กิน 1 เม็ดแรก ภายใน 72 ชม. เม็ดที่ 2 ภายใน 24 ชม.</t>
  </si>
  <si>
    <t>กินไม่เกินเดือนละ 4 กล่อง</t>
  </si>
  <si>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</si>
  <si>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6 Pharma Plus เล่มม่วง (เฉลยข้อ ก ค)</t>
  </si>
  <si>
    <t>ฮอร์โมนคุมกำเนิดไม่ใช่ในการรักษาอะไร</t>
  </si>
  <si>
    <t>สิว</t>
  </si>
  <si>
    <t>ประจำเดือนมามากผิดปกติ</t>
  </si>
  <si>
    <t>ฝ้า</t>
  </si>
  <si>
    <t>ประจำเดือนมากกระปริดกระปรอย</t>
  </si>
  <si>
    <t>เลื่อนประจำเดือน</t>
  </si>
  <si>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</si>
  <si>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7 Pharma Plus เล่มม่วง (เฉลยข้อ ค)</t>
  </si>
  <si>
    <t>ทุกข้อเป็นประโยชน์ของ progestogen ยกเว้นข้อใด</t>
  </si>
  <si>
    <t>ยับยั้งการตกไข่</t>
  </si>
  <si>
    <t>ฆ่า sperm</t>
  </si>
  <si>
    <t>กระตุ้นการตกไข่</t>
  </si>
  <si>
    <t>ทำให้มูกเหนียวขึ้น</t>
  </si>
  <si>
    <t>ทำให้ท่อนำไข่บีบตัว</t>
  </si>
  <si>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</si>
  <si>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8 Pharma Plus เล่มม่วง (เฉลยข้อ ข ค)</t>
  </si>
  <si>
    <t>ผู้ป่วยภาวะต่อไปนี้สามารถใช้ยาคุมกำเนิดชนิดฮอร์โมนรวมได้</t>
  </si>
  <si>
    <t>Thromboembolism</t>
  </si>
  <si>
    <t>สงสัยว่าจะเป็นมะเร็งเต้านม</t>
  </si>
  <si>
    <t>สงสัยว่า จะตั้งครรภ์</t>
  </si>
  <si>
    <t>มีเลือดออกจากช่องคลอดผิดปกติที่ยังไม่ได้วินิจฉัย</t>
  </si>
  <si>
    <t>หญิงสูบบุหรี่ ที่มีอายุ &lt; 35 ปี</t>
  </si>
  <si>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</si>
  <si>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ถ้าผู้ป่วยใช้ conjugate estrogen + medroxyprogesterone acetate การให้คู่กันเพื่อเหตุผลใด</t>
  </si>
  <si>
    <t>ใช้ในหญิงหมดประจำเดือนที่มีมดลูก</t>
  </si>
  <si>
    <t>ใช้เพื่อป้องกันโรคหัวใจในหญิงหมดประจำเดือน</t>
  </si>
  <si>
    <t>ใช้เพื่อรักษาโรคกระดูกพรุน ที่เกิดเนื่องจากขาดฮอร์โมน</t>
  </si>
  <si>
    <t>ใช้เพื่อรักษาอาการ vasomotor symptom</t>
  </si>
  <si>
    <t>มี progesterone เพื่อช่วยป้องกันมะเร็งมดลูก</t>
  </si>
  <si>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</si>
  <si>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Hormonal replacement</t>
  </si>
  <si>
    <t>ในสตรีที่ไม่มีมดลูก และมีอาการเฉพาะที่ท่อปัสสาวะและช่องคลอดอักเสบ ยาในรูปแบบใดที่น่าจะเหมาะสมที่สุด</t>
  </si>
  <si>
    <t>Intramuscular injection</t>
  </si>
  <si>
    <t>Oral tablet</t>
  </si>
  <si>
    <t>Transdermal patch</t>
  </si>
  <si>
    <t>Vagina cream</t>
  </si>
  <si>
    <t>ได้ทุกรูปแบบ</t>
  </si>
  <si>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</si>
  <si>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Progestogen ใดที่มีฤทธิ์ anti-androgen</t>
  </si>
  <si>
    <t>Norethisterone acetate</t>
  </si>
  <si>
    <t>Norethisterone enanthate</t>
  </si>
  <si>
    <t>Cyproterone acetate</t>
  </si>
  <si>
    <t>Mestranol</t>
  </si>
  <si>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</si>
  <si>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การใช้ hormone replacement therapy หรือ estrogen replacement therapy ควรระวังในผู้ป่วยประเภทใด</t>
  </si>
  <si>
    <t>คนที่เสี่ยงต่อกระดูกพรุน</t>
  </si>
  <si>
    <t>คนที่ตัดรังไข่ทั้งสองข้าง</t>
  </si>
  <si>
    <t>ที่มีอาการช่องคลอดอักเสบ</t>
  </si>
  <si>
    <t>ที่เป็น hyperthyroid</t>
  </si>
  <si>
    <t>ที่เป็นโรคไขมัน ความดันโลหิตสูง</t>
  </si>
  <si>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</si>
  <si>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Anti-estrogen ใดที่กระตุ้นการตกไข่ในผู้หญิงที่มีบุตรยาก</t>
  </si>
  <si>
    <t>Oxandrolone</t>
  </si>
  <si>
    <t>Clomiphene citrate</t>
  </si>
  <si>
    <t>Tibolones</t>
  </si>
  <si>
    <t>Tamoxifen</t>
  </si>
  <si>
    <t>Progesterone</t>
  </si>
  <si>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</si>
  <si>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14 Pharma Plus เล่มม่วง (เฉลยข้อ ข)</t>
  </si>
  <si>
    <t>ยาเม็ดคุมกำเนิดใช้ในการบำบัดรักษาภาวะต่าง ๆ ยกเว้น</t>
  </si>
  <si>
    <t>เยื่อบุโพรงมดลูกเจริญผิดปกติ</t>
  </si>
  <si>
    <t>ภาวะปวดประจำเดือน</t>
  </si>
  <si>
    <t>ภาวะประจำเดือนผิดปกติ</t>
  </si>
  <si>
    <t>ลดอาการคัดเต้านมหลังคลอดบุตร</t>
  </si>
  <si>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</si>
  <si>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ยาที่มีผลกระตุ้นการหลั่ง prolactin ยกเว้น</t>
  </si>
  <si>
    <t>Phenothiazine</t>
  </si>
  <si>
    <t>Levodopa</t>
  </si>
  <si>
    <t>Butyrophenone</t>
  </si>
  <si>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</si>
  <si>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อาการข้างเคียงข้อใดเกิดจากการมี estrogen มากเกินไป</t>
  </si>
  <si>
    <t>เป็นฝ้า</t>
  </si>
  <si>
    <t>เป็นสิว</t>
  </si>
  <si>
    <t>Noncyclic weight gain</t>
  </si>
  <si>
    <t>Hypomenorrhea</t>
  </si>
  <si>
    <t>เต้านมเล็กลง</t>
  </si>
  <si>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</si>
  <si>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ข้อใดไม่ใช่ clinical use ของ progesterone</t>
  </si>
  <si>
    <t>Contraceptive</t>
  </si>
  <si>
    <t>Endometriosis</t>
  </si>
  <si>
    <t>Dysfunction uterine bleeding</t>
  </si>
  <si>
    <t>การเลื่อนกำหนดการมีประจำเดือน</t>
  </si>
  <si>
    <t>มะเร็งเต้านม</t>
  </si>
  <si>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</si>
  <si>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วิธีคุมกำเนิดชนิดใดมีประสิทธิภาพในการคุมกำเนิดได้ดีที่สุด</t>
  </si>
  <si>
    <t>ยาเม็ดคุมกำเนิด</t>
  </si>
  <si>
    <t>ถุงยางอนามัย</t>
  </si>
  <si>
    <t>ใส่ห่วงอนามัย</t>
  </si>
  <si>
    <t>การนับระยะปลอดภัย</t>
  </si>
  <si>
    <t>ใช้ยาฆ่าอสุจิ</t>
  </si>
  <si>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</si>
  <si>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Levonorgestrel สามารถใช้ในการคุมกำเนิดในผู้ป่วยกลุ่มใด</t>
  </si>
  <si>
    <t>สตรีมีครรภ์</t>
  </si>
  <si>
    <t>ผู้ป่วย ischemic heart disease</t>
  </si>
  <si>
    <t>ผู้ป่วย hypertension</t>
  </si>
  <si>
    <t>ผู้ป่วยประวัติ breast cancer</t>
  </si>
  <si>
    <t>ผู้ป่วยโรคหอบหืด</t>
  </si>
  <si>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</si>
  <si>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20 Pharma Plus เล่มม่วง (เฉลยข้อ ข ค ง จ)</t>
  </si>
  <si>
    <t>ข้อใดต่อไปนี้ผิดเกี่ยวกับ levonorgestrel</t>
  </si>
  <si>
    <t>มีกลไกการออกฤทธิ์ คือ ยับยั้งการตกไข่</t>
  </si>
  <si>
    <t>ประสิทธิภาพในการป้องกันการตั้งครรภ์จะสูงสุด ถ้ารับหลังการร่วมเพศทันที</t>
  </si>
  <si>
    <t>ประสิทธิภาพในการป้องกันการตั้งครรภ์จะเทียบเท่ากับการใช้ยาเม็ดคุมกำเนิดทั่วไป</t>
  </si>
  <si>
    <t>มี side effect คือ ปวดหัวนะ คลื่นไส้ อาเจียน</t>
  </si>
  <si>
    <t>ประสิทธิภาพในการป้องกันการตั้งครรภ์จะลดลง ถ้าร่วมกับ barbiturate ที่เป็น hepatic drug metabolizing enzyme inducer</t>
  </si>
  <si>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</si>
  <si>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</si>
  <si>
    <t>รับประทานครั้งละ 2 เม็ด ภายใน 12 ชั่วโมง หลังจากนั้นอีก 12 ชั่วโมง รับประทานอีก 2 เม็ด</t>
  </si>
  <si>
    <t>รับประทาน 1 เม็ด ภายใน 72 ชั่วโมง หลังจากนั้นอีก 12 ชั่วโมง รับประทานอีก 1 เม็ด</t>
  </si>
  <si>
    <t>รับประทาน 2 เม็ด ภายใน 72 ชั่วโมง ครั้งเดียว</t>
  </si>
  <si>
    <t>รับประทาน 2 เม็ด ภายใน 1 ชั่วโมง</t>
  </si>
  <si>
    <t>รับประทานหนึ่งเม็ดติดต่อกันนาน 5 วัน</t>
  </si>
  <si>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</si>
  <si>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22 Pharma Plus เล่มม่วง (เฉลยข้อ ข ค)</t>
  </si>
  <si>
    <t>เภสัชกรแนะนำให้ผู้ป่วยรับประทานยาคุมชนิด combines pill ควรเลือกยาคุมในข้อใด ในกรณีที่เริ่มใช้เป็นครั้งแรก</t>
  </si>
  <si>
    <t>Ethinyl estradiol 0.05 mg + ethinodiol diacetate 1 mg</t>
  </si>
  <si>
    <t>Mestranol 0.05 mg + northisterone 1 mg</t>
  </si>
  <si>
    <t>Ethinyl estradiol 0.03 mg + levonorgestrel 0.15 mg</t>
  </si>
  <si>
    <t>Ethinyl estradiol 0.03 mg + gestrodene 0.075 mg</t>
  </si>
  <si>
    <t>Ethinyl estradiol 0.02 mg + desogestrel 0.15 mg</t>
  </si>
  <si>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</si>
  <si>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23 Pharma Plus เล่มม่วง (เฉลยข้อ )</t>
  </si>
  <si>
    <t>คำแนะนำในการใช้ยาคุมกำเนิดข้อใดผิด</t>
  </si>
  <si>
    <t>15 วันแรกที่รับประทานยาคุมกำเนิด ควรคุมกำเนิดโดยการใช้ถุงยางอนามัยด้วย</t>
  </si>
  <si>
    <t>2-3 แผงแรกของการรับประทานยาคุม อาจมีอาการคลื่นไส้อาเจียน จากนั้นอาการจะทุเลาลงเอง</t>
  </si>
  <si>
    <t>ควรรับประทานยาคุมกำเนิดทุกวัน วันละ 1 เม็ด เวลาใดก็ได้ แต่ห้ามลืม</t>
  </si>
  <si>
    <t>การรับประทานยาคุมกำเนิด ควรเริ่มรับประทานในวันที่ 1-5 ของการมีประจำเดือน</t>
  </si>
  <si>
    <t>หากลืมรับประทานยาคุมกำเนิดติดต่อกันเกิน 2 เม็ด ควรหยุดยาใช้คุมกำเนิดแผงนั้นและใช้วิธีการคุมกำเนิดแบบอื่น</t>
  </si>
  <si>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</si>
  <si>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24 Pharma Plus เล่มม่วง (เฉลยข้อ ค)</t>
  </si>
  <si>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</si>
  <si>
    <t>จะช่วยให้ผลดีต่อระบบหัวใจและหลอดเลือด</t>
  </si>
  <si>
    <t>จะช่วยทำให้ไม่มีเลือดออกจากช่องคลอด</t>
  </si>
  <si>
    <t>จะช่วยลดความเสี่ยงของการเป็นมะเร็งเยื่อบุมดลูก</t>
  </si>
  <si>
    <t>จะช่วยลดความเสี่ยงของการเกิดมะเร็งเต้านม</t>
  </si>
  <si>
    <t>จะช่วยลดความเสี่ยงของการเกิดมะเร็งปากมดลูก</t>
  </si>
  <si>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</si>
  <si>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25 Pharma Plus เล่มม่วง (เฉลยข้อ ค)</t>
  </si>
  <si>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</si>
  <si>
    <t>การให้แบบแผ่นแปะไม่มี first pass metabolism ที่ตับ</t>
  </si>
  <si>
    <t>การให้แบบแผ่นแปะจะมีผลการดูดซึมที่ดีกว่าแบบรับประทาน</t>
  </si>
  <si>
    <t>การให้แบบแผ่นแปะจะมีผลการรักษาอาการร้อนวูบวาบได้ดีกว่า</t>
  </si>
  <si>
    <t>การให้แบบแผ่นแปะจะมีผลการรักษาช่องคลอดแห้งได้ดีกว่า</t>
  </si>
  <si>
    <t>การให้แบบแผ่นแปะจะมีผลการรักษา osteoporosis ดีกว่า</t>
  </si>
  <si>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</si>
  <si>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สำหรับผู้ป่วยที่ตัดมดลูก ควรใช้ฮอร์โมนทดแทนแบบใด</t>
  </si>
  <si>
    <t>Estradiol valerate 2 mg + norgestrel 0.5 mg</t>
  </si>
  <si>
    <t>Medroxyprogesterone acetate 5 mg</t>
  </si>
  <si>
    <t>Ethynyl estradiol 30 mcg + cyproterone acetate 2 mg</t>
  </si>
  <si>
    <t>Conjugated estrogen 0.625 mg</t>
  </si>
  <si>
    <t>Conjugated estrogen 0.625 mg + medroxyprogesterone 5 mg</t>
  </si>
  <si>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</si>
  <si>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27 Pharma Plus เล่มม่วง (เฉลยข้อ ง)</t>
  </si>
  <si>
    <t>ข้อใดเป็นอาการไม่พึงประสงค์ที่ร้ายแรงของยาที่เลือกใช้ในข้อ 27</t>
  </si>
  <si>
    <t>Hyperbilirubinemia</t>
  </si>
  <si>
    <t>Congestive heart failure</t>
  </si>
  <si>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</si>
  <si>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</si>
  <si>
    <t>เริ่มมีอาการปวดท้องเมื่ออายุ 27 ปี</t>
  </si>
  <si>
    <t>ปวดบิดเป็นพัก ๆ ที่บริเวณท้องน้อย</t>
  </si>
  <si>
    <t>ปวดท้องก่อนมีประจำเดือนไม่กี่ชม.</t>
  </si>
  <si>
    <t>ปวดท้องตลอดช่วง 2-3 วันแรกของการมีประจำเดือน</t>
  </si>
  <si>
    <t>อาการปวดท้องดีขึ้นเมื่อรับประทานยา paracetamol หรือ ibuprofen</t>
  </si>
  <si>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</si>
  <si>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Dysmenorrhea</t>
  </si>
  <si>
    <t>ข้อ 29 Pharma Plus เล่มม่วง (เฉลยข้อ ก จ)</t>
  </si>
  <si>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</si>
  <si>
    <t>ประคบบริเวณท้องน้อยด้วยถุงน้ำร้อนเพื่อช่วยบรรเทาและอาการปวดท้อง</t>
  </si>
  <si>
    <t>ควรนอนพักผ่อนมาก ๆ ระหว่างมีประจำเดือน</t>
  </si>
  <si>
    <t>ควรรับประทานยา ibuprofen หลังอาหารทันที</t>
  </si>
  <si>
    <t>สามารถรับประทานยา ibuprofen ก่อนมีอาการปวดเพื่อป้องกันได้</t>
  </si>
  <si>
    <t>หลีกเลี่ยงเครื่องดื่มที่มีแอลกอฮอล์ระหว่างรับประทานยา ibuprofen</t>
  </si>
  <si>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</si>
  <si>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</si>
  <si>
    <t>Serotonin</t>
  </si>
  <si>
    <t>Prostaglandin</t>
  </si>
  <si>
    <t>Cyclo-oxygenase</t>
  </si>
  <si>
    <t>Thromboxane</t>
  </si>
  <si>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</si>
  <si>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หากผู้ป่วยรายนี้รับประทานยา ibuprofen แล้วประมาณ 1 ชม. ยังมีอาการปวด จะแนะนำยาชนิดใดเพื่อเสริมฤทธิ์แก้ปวดท้อง</t>
  </si>
  <si>
    <t>Mefenamic acid</t>
  </si>
  <si>
    <t>Hyoscine-n-butyl bromide</t>
  </si>
  <si>
    <t>Estradiol+ levonorgertrel</t>
  </si>
  <si>
    <t>Orphenadrine</t>
  </si>
  <si>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</si>
  <si>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ยาใดที่ไม่สามารถใช้รักษาอาการปวดประจำเดือน</t>
  </si>
  <si>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</si>
  <si>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</si>
  <si>
    <t>12.00 น. ของ 6 ก.พ. 53</t>
  </si>
  <si>
    <t>20.00 น. ของ 6 ก.พ. 53</t>
  </si>
  <si>
    <t>8.00 น. ของ 7 ก.พ. 53</t>
  </si>
  <si>
    <t>20.00 น. ของ 7 ก.พ. 53</t>
  </si>
  <si>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</si>
  <si>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Progestogen only pill คืออะไร</t>
  </si>
  <si>
    <t>Norethisterone</t>
  </si>
  <si>
    <t>Gestodene</t>
  </si>
  <si>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</si>
  <si>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ข้อใดคืออาการไม่พึงประสงค์ของ progesterone</t>
  </si>
  <si>
    <t>เลือดออกกระบิดกระโปรยว</t>
  </si>
  <si>
    <t>น้ำนมไหล</t>
  </si>
  <si>
    <t>มูกปากมดลูกเป็นแบบใสๆ</t>
  </si>
  <si>
    <t>เบื่ออาหาร</t>
  </si>
  <si>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</si>
  <si>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นางลีบอกว่าเพิ่งเคยได้รับยาฮอร์โมนเป็นครั้งแรก ขอให้เภสัชกรช่วยอธิบายวิธีใช้โดยละเอียด
ข้อใดเป็นคำอธิบายที่ไม่ถูกต้อง</t>
  </si>
  <si>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</si>
  <si>
    <t>ควรรับประทานยาในเวลาเดียวกันหรือใกล้เคียงกันทุกวัน</t>
  </si>
  <si>
    <t>ถ้ามีอาการคลื่นไส้ อาเจียน เลือดออกกระปริดกระปรอย ให้หยุดใช้ยาทันทีแล้วไปพบแพทย์</t>
  </si>
  <si>
    <t>แม้ความหนาแน่นกระดูกปกติ ก็ควรรับประทานแคลเซียมเสริมเป็นประจำ และออกกำลังกายสม่ำเสมอ</t>
  </si>
  <si>
    <t>ในช่วงที่หยุดยาฮอร์โมนจะมีประจำเดือน จะเป็นอยู่ระยะหนึ่งแล้วค่อยๆน้อยลง จนหายไป</t>
  </si>
  <si>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</si>
  <si>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Conjugated estrogen คือ esters ของเอสโตเจนธรรมชาติหลายๆชนิดรวมกัน</t>
  </si>
  <si>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</si>
  <si>
    <t>Estrogen มีกลไกการออกฤทธิ์โดยจับกับ estrogen receptor ภายในเซลล์ มีผลต่อการแสดงออกของยีน</t>
  </si>
  <si>
    <t>Progesterone มีกลไกการออกฤทธิ์คล้ายกับ estrogen โดยจับที่ตัวรับและยีนเดียวกัน</t>
  </si>
  <si>
    <t>ไม่มีคำตอบ</t>
  </si>
  <si>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</si>
  <si>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</si>
  <si>
    <t>แนะนำให้หยุดยาทันทีแล้วไปพบแพทย์</t>
  </si>
  <si>
    <t>อธิบายว่าอาการคลื่นไส้ อาเจียนจะเป็นอยู่ระยะหนึ่งหลังจากนั้นจะดีขึ้น ถ้าไม่ดีขึ้นให้ไปพบแพทย์</t>
  </si>
  <si>
    <t>ลดขนาดของ conjugated estrogen เป็นขนาดเม็ดละ 0.03 มิลลิกรัม</t>
  </si>
  <si>
    <t>ลดขนาดของ MPA เป็นขนาดเม็ดละ 2.5 มิลลิกรัม</t>
  </si>
  <si>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</si>
  <si>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ถ้านางลีเป็นเบาหวาน รูปแบบของ estrogen แบบใดจะมีผลกระทบต่อภาวะของโรคเบาหวานน้อยที่สุด
ข้อใดถูกต้อง</t>
  </si>
  <si>
    <t>ยาเม็ด</t>
  </si>
  <si>
    <t>ยาฉีด</t>
  </si>
  <si>
    <t>แผ่นแปะผิวหนัง</t>
  </si>
  <si>
    <t>ครีมสอดช่องคลอด</t>
  </si>
  <si>
    <t>แบบฝัง</t>
  </si>
  <si>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</si>
  <si>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ข้อ 40 Pharma Plus เล่มม่วง (เฉลยข้อ ง)</t>
  </si>
  <si>
    <t>นางลีไม่อยากให้มีประจำเดือน วิธีการบริหารยาแบบใดที่จะทำให้ไม่มีประจำเดือนมาทุกเดือน
ข้อใดถูกต้อง</t>
  </si>
  <si>
    <t>รับประทานยาทั้งสองชนิดทุกวัน ไม่ต้องหยุดยา 7 วัน</t>
  </si>
  <si>
    <t>เว้นช่วงไม่ต้องรับประทาน MPA 2-3 เดือนแล้วกลับมารับประทานเหมือนเดิม 1 เดือน แล้วเว้นช่วงต่อไปเรื่อย ๆ</t>
  </si>
  <si>
    <t>ไม่ต้องทาน MPA เพราะเป็นสาเหตุให้มีเลือดประจำเดือนเมื่อหยุดยา</t>
  </si>
  <si>
    <t>เปลี่ยนมาใช้แบบแผ่นปะ ปะผิวหนัง 3 สัปดาห์ เว้นไม่ปะ 1 สัปดาห์ และรับประทาน MPA ควบไปด้วในช่วงสัปดาห์ที่ 2 และ 3 ที่ปะแผ่นยา</t>
  </si>
  <si>
    <t>บอกนางลี ไม่ว่าจะใช้วิธีใดก็ต้องมีเลือดประจำเดือนมาทุกเดือน ไม่มีวิธีแก้ ไข</t>
  </si>
  <si>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</si>
  <si>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41 Pharma Plus เล่มม่วง (เฉลยข้อ ก)</t>
  </si>
  <si>
    <t>นางลีขอให้เภสัชกรช่วยจัดยาเม็ดแคลเซียมให้ ข้อมูลใดไม่ถูกต้องเกี่ยวกับ แคลเซียม
ข้อใดถูกต้อง</t>
  </si>
  <si>
    <t>ขนาดแคลเซียมสำหรับสตรีหมดประจำเดือนคือ 1000-1500 มิลลิกรัม/วัน</t>
  </si>
  <si>
    <t>ควรรับประทานแคลเซียมหลังอาหารเพราะช่วยให้ดูดซึมดีขึ้น</t>
  </si>
  <si>
    <t>พิจารณาชนิดเกลือของแคลเซียม เพราะเกลือต่าง ๆ ชนิดกัน จะให้ปริมาณแคลเซียมต่างกัน</t>
  </si>
  <si>
    <t>ควรให้วิตามินดี ร่วมด้วยเสมอเพื่อช่วยให้กระดูกซึมดีขึ้น</t>
  </si>
  <si>
    <t>ปกติเราจะได้รับแคลเซียมบางส่วนจากอาหาร ควรรับประทานอาหารให้ครบ และออกกำลังกายสม่ำเสมอ</t>
  </si>
  <si>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</si>
  <si>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</si>
  <si>
    <t>Cardiovascular disease</t>
  </si>
  <si>
    <t>Psychosexual symptom</t>
  </si>
  <si>
    <t>Urogenital symptom</t>
  </si>
  <si>
    <t>Vasomotor symptom</t>
  </si>
  <si>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</si>
  <si>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43 Pharma Plus เล่มม่วง (เฉลยข้อ จ)</t>
  </si>
  <si>
    <t>วงจรปกติของการเกิดประจำเดือน (menstrual cycle) เกิดจากบทบาทการเปลี่ยนแปลงปริมาณของฮอร์โมนหลายชนิดต่อไปนี้ ยกเว้น</t>
  </si>
  <si>
    <t>Androgen</t>
  </si>
  <si>
    <t>Follicle stimulating hormone (FSH)</t>
  </si>
  <si>
    <t>Luteinizing hormone (LH)</t>
  </si>
  <si>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</si>
  <si>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44 Pharma Plus เล่มม่วง (เฉลยข้อ ก)</t>
  </si>
  <si>
    <t>ข้อใดต่อไปนี้ ถูกต้อง</t>
  </si>
  <si>
    <t>การใช้ MPA ร่วมด้วยเพื่อป้องกันมะเร็งเยื่อบุโพรงมดลูก</t>
  </si>
  <si>
    <t>การใช้ MPA ร่วมด้วยเพื่อรักษาอาการร้อนวูบวาบ</t>
  </si>
  <si>
    <t>การใช้ MPA ร่วมด้วยเพื่อป้องกันมะเร็งเต้านม</t>
  </si>
  <si>
    <t>นิยมใช้ estrogen ร่วมกับ MPA กับหญิงที่ตัดมดลูกแล้ว</t>
  </si>
  <si>
    <t>ในหญิงที่มีมดลูกนิยมให้เอสโตรเจนเพียงอย่างเดียว</t>
  </si>
  <si>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</si>
  <si>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ข้อใดผิดเกี่ยวกับการใช้ tibolone เป็นฮอร์โมนทดแทน</t>
  </si>
  <si>
    <t>ช่วยเพิ่มมวลกระดูกและความรู้สึกทางเพศ</t>
  </si>
  <si>
    <t>ห้ามใช้ยาในผู้ป่วยที่เป็นเนื้องอกหรือครอบครัวมีประวัติเป็นมะเร็งเต้านมและเยื่อบุโพรงมดลูก</t>
  </si>
  <si>
    <t>ใช้ร่วมกับ progesterone เสมอเพื่อป้องกันมะเร็งเยื่อบุโพรงมดลูก</t>
  </si>
  <si>
    <t>อาจทำให้เกิดอาการคลื่นไส้ อาเจียน ปวดศีรษะ ผื่นคัน หรือบวม</t>
  </si>
  <si>
    <t>สามารถป้องกันโรคเกี่ยวกับหลอดเลือดและหัวใจได้</t>
  </si>
  <si>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</si>
  <si>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สถานการณ์ที่ 6 (ต่อเนื่อง)
ควรแนะนำอาหารประเภทใดให้ผู้ป่วยรายนี้</t>
  </si>
  <si>
    <t>นม, เต้าหู้, ปลาไส้ตัน</t>
  </si>
  <si>
    <t>น้ำมันตับปลา, มะม่วงสุก, กุ้งแห้ง</t>
  </si>
  <si>
    <t>มะละกอกุก, หน่อไม้, ไข่</t>
  </si>
  <si>
    <t>ปูอัด, เนื้อไม่ติดมัน, สลัด</t>
  </si>
  <si>
    <t>น้ำมะพร้าว, มะเขือเทศ, ปลาทู</t>
  </si>
  <si>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</si>
  <si>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หญิงอายุ 32 ปี น ้าหนัก 60 กก. เพิ่งคลอดบุตรได้ 4 สัปดาห์ ต้องการคุมกำเนิด ควรให้ยาคุมกำเนิดชนิดใด</t>
  </si>
  <si>
    <t>Norethisterone 5 mg</t>
  </si>
  <si>
    <t>Levonorgestrel 1.5 mg</t>
  </si>
  <si>
    <t>Dienogest 2 mg</t>
  </si>
  <si>
    <t>Desogestrel 75 mcg</t>
  </si>
  <si>
    <t>Ethinylestradiol 30 mcg + Drospirenone 3 mg</t>
  </si>
  <si>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</si>
  <si>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Contraception</t>
  </si>
  <si>
    <t>Mock PLE-CC 1 ข้อ 84</t>
  </si>
  <si>
    <t>ข้อใดไม่ใช่อาการข้างเคียงรุนแรงของยาคุมกำเนิดชนิดฮอร์โมนรวม</t>
  </si>
  <si>
    <t>ปวดหัวรุนแรง</t>
  </si>
  <si>
    <t>ปวดท้องรุนแรง</t>
  </si>
  <si>
    <t>การมองเห็นผิดปกติ</t>
  </si>
  <si>
    <t>คัดตึงเต้านม</t>
  </si>
  <si>
    <t>หายใจล าบาก</t>
  </si>
  <si>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</si>
  <si>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Mock PLE-CC 1 ข้อ 85</t>
  </si>
  <si>
    <t>ข้อใดเป็นข้อแนะนำการใช้ ยาคุมแบบแผ่นแปะที่ถูกต้อง</t>
  </si>
  <si>
    <t>เปลี่ยนใหม่ทุก 3 วัน</t>
  </si>
  <si>
    <t>แปะซ้อน 2 แผ่น กันลืม</t>
  </si>
  <si>
    <t>สามารถแปะครึ่งแผ่นได้ หากน ้าหนักตัวน้อย</t>
  </si>
  <si>
    <t>Ethinylestradiol 30 mcg + Levonorgestrel 150 mcg</t>
  </si>
  <si>
    <t>แปะแผ่นสัปดาห์ละ 1 แผ่น นาน 3 สัปดาห์ แล้วเว้น 1 สัปดาห์</t>
  </si>
  <si>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</si>
  <si>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Mock PLE-CC 1 ข้อ 86</t>
  </si>
  <si>
    <t>ข้อใดอธิบายกลไกหลักของยาคุมชนิดฮอร์โมนรวม</t>
  </si>
  <si>
    <t>Prevention of endometrial proliferation and maturation</t>
  </si>
  <si>
    <t>Feedback inhibitions to suppress LH surge</t>
  </si>
  <si>
    <t>Sensitize hypothalamus to the positive feedback of estrogen</t>
  </si>
  <si>
    <t>Delay ovulation</t>
  </si>
  <si>
    <t>Reduce chance of conception</t>
  </si>
  <si>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</si>
  <si>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Mock PLE-CC 1 ข้อ 87</t>
  </si>
  <si>
    <t>ข้อใดไม่จัดเป็นเกณฑ์ COA แผ่นแปะยาคุม</t>
  </si>
  <si>
    <t>In vitro drug release</t>
  </si>
  <si>
    <t>Adhesion</t>
  </si>
  <si>
    <t>Uniformity of dosage unit</t>
  </si>
  <si>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</si>
  <si>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Mock PLE-CC 1 ข้อ 93</t>
  </si>
  <si>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</si>
  <si>
    <t>Perceive susceptibility</t>
  </si>
  <si>
    <t>Perceive severity</t>
  </si>
  <si>
    <t>Perceive benefits</t>
  </si>
  <si>
    <t>Perceive barriers</t>
  </si>
  <si>
    <t>Self efficacy</t>
  </si>
  <si>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</si>
  <si>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Mock PLE-CC 1 ข้อ 94</t>
  </si>
  <si>
    <t>ยาต้านชักตัวไหนส่งผลต่อยาคุมน้อยสุด. ตัวเลือก</t>
  </si>
  <si>
    <t>Tolterodine 2 mg BID</t>
  </si>
  <si>
    <t>Dydrogesterone 10 mg BID</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</si>
  <si>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</si>
  <si>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PLE-CC1 ปี 2566 Day 1 ข้อ 14</t>
  </si>
  <si>
    <t>ยาคุมเพิ่งคลอดลูกได้2 week กำลังให้นมบุตร ตัวเลือก</t>
  </si>
  <si>
    <t>Ethinylestradiol 35 mcg + Cyproterone acetate 2 mg</t>
  </si>
  <si>
    <t>Desogestrel 75 mcg OD (Progestin-only)</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</si>
  <si>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</si>
  <si>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PLE-CC1 ปี 2566 Day 1 ข้อ 26</t>
  </si>
  <si>
    <t>EE + Drosperinone</t>
  </si>
  <si>
    <t>Mefenamic acid 500 mg TID</t>
  </si>
  <si>
    <t>Tamsulosin 0.4 mg HS</t>
  </si>
  <si>
    <t>Finasteride 5 mg OD</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</si>
  <si>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</si>
  <si>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PLE-CC1 ปี 2566 Day 1 ข้อ 2</t>
  </si>
  <si>
    <t>ผลของยาคุมชนิดฮอร์โมนรวมในระยะยาว ตัวเลือก</t>
  </si>
  <si>
    <t>Oxybutynin 5 mg BID</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</si>
  <si>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</si>
  <si>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PLE-CC1 ปี 2566 Day 1 ข้อ 27</t>
  </si>
  <si>
    <t>Combined oral contraceptive pills 1x1 ทุกวัน</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</si>
  <si>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</si>
  <si>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ผูป%วยรายนี้ควรไดยาคุมในขอใด</t>
  </si>
  <si>
    <t>EE … mcg + Levonorgestrel 0.15 mg</t>
  </si>
  <si>
    <t>EE … mcg + Drosperinone 3 mg</t>
  </si>
  <si>
    <t xml:space="preserve"> จำ choice ไม;ได# </t>
  </si>
  <si>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(จำ choice ไม;ได): จำ choice ไม;ได ไม่ตรงกับข้อบ่งใช้หรือกลไกการออกฤทธิ์ที่ถูกต้องตาม WHO Medical Eligibility Criteria for Contraceptive Use (5th edition, 2015)
• ข้อ จ. (จำ choice ไม;ได): จำ choice ไม;ได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</si>
  <si>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PLE_CC1_2565_Day1_Key ข้อ 65</t>
  </si>
  <si>
    <t>คำแนะนำในการใชยาคุมขอใดไม;ถูกตอง</t>
  </si>
  <si>
    <t>ทานเม็ดฮอรçโมนเม็ดแรกในวันพรุ;งนี้</t>
  </si>
  <si>
    <t>ทานวันละ 1 เม็ดต;อเนื่องทุกวัน เวลาใดก็ไดแต;ใหเปMนเวลาเดียวกันทุกวัน</t>
  </si>
  <si>
    <t>หากมีเลือดออกกะปริบกะปรอยจากช;องคลอดใหรีบหยุดทานแลวมาปรึกษาเภสัชกร</t>
  </si>
  <si>
    <t>อาจมีอาการคลื่นไสอาเจียนช;วง 2-3 แผงแรก ใหรับประทานเปMนหลังอาหารเย็นหรือก;อนนอนจะช;วย ลดอาการ</t>
  </si>
  <si>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</si>
  <si>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</si>
  <si>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PLE_CC1_2565_Day1_Key ข้อ 66</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</si>
  <si>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</si>
  <si>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PLE_CC1_2565_Day1_Key ข้อ 16</t>
  </si>
  <si>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</si>
  <si>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</si>
  <si>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PLE_CC1_2564_All_Key ข้อ 26</t>
  </si>
  <si>
    <t>ใช้อะไรในการสกัด tree tea oil จากใบและกิ่งสด</t>
  </si>
  <si>
    <t>Soxhlet extraction</t>
  </si>
  <si>
    <t>สกัดด้วยน้ำ</t>
  </si>
  <si>
    <t>กลั่นด้วยไอน้ำ</t>
  </si>
  <si>
    <t>Enfleurage</t>
  </si>
  <si>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</si>
  <si>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</si>
  <si>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PLE_CC1_2564_All_Key ข้อ 85</t>
  </si>
  <si>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</si>
  <si>
    <t>43 Pseudoplastic C 0.47</t>
  </si>
  <si>
    <t>ตำรับ B มีแนวโน้มคษตัวดีกว่าตำรับ C</t>
  </si>
  <si>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</si>
  <si>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</si>
  <si>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PLE_CC1_2563_Q ข้อ 27</t>
  </si>
  <si>
    <t>คำแนะนำใดที่เหมาะสม หากผู้ป่วยวางแผนจะตั้งครรภ์ &amp; aeveIndiana inactancia X Type B ADR Malenuresen</t>
  </si>
  <si>
    <t>ให้ vitamin K จนกว่าจะคลอด</t>
  </si>
  <si>
    <t>ให้ folic acid เสริมตั้งแต่วันนี้เป็นต้นไป</t>
  </si>
  <si>
    <t>รักษาอาการชักจนหายก่อนวางแผนตั้งครรภ์</t>
  </si>
  <si>
    <t>หยุดยารักษาอาการชักก่อนการตั้งครรภ์</t>
  </si>
  <si>
    <t>เปลี่ยนยารักษาอาการชักเป็น valproic acid สำหรับหญิงตั้งครรภ์</t>
  </si>
  <si>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</si>
  <si>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99 (PLE_CC1_2562_Key.md)</t>
  </si>
  <si>
    <t>หากหญิงคนนี้กินยาฮอร์โมนรวมไปได้หลายวันแล้ว มีเลือดออกกระปิดกระปอยควรแนะนำอย่างไร</t>
  </si>
  <si>
    <t>กินไปเหมือนเดิมแล้วอาการจะหายไปหลังใช้ยาต่อเนื่อง 2-3 เดือน</t>
  </si>
  <si>
    <t>เพิ่มปริมาณ estrogen</t>
  </si>
  <si>
    <t>ลดปริมาณ estrogen</t>
  </si>
  <si>
    <t>เพิ่มปริมาณ progesterone</t>
  </si>
  <si>
    <t>ลดปริมาณ progesterone</t>
  </si>
  <si>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</si>
  <si>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ข้อใดคือข้อห(ามใช(ยาคุมกำเนิดแบบฮอรโมนรวมตาม WHO category 4</t>
  </si>
  <si>
    <t>สูบบุหรี่ 10 มวน/วัน</t>
  </si>
  <si>
    <t>เป5นโรคเส(นเลือดขอด</t>
  </si>
  <si>
    <t>เป5นไมเกรนแบบมีออร.า</t>
  </si>
  <si>
    <t>ดัชนีมวลกาย 28 kg/m2 I</t>
  </si>
  <si>
    <t>ระดับไขมันในเลือดผิดปกติ</t>
  </si>
  <si>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</si>
  <si>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55 (PLE_CC1_2561_Key.md)</t>
  </si>
  <si>
    <t>ข้อใดถูกต้องเกี่ยวกับยาคุมสูตรผสมชนิดแผ.นแปะ</t>
  </si>
  <si>
    <t>ใช(กับผู(หญิงให(นมบุตรได(</t>
  </si>
  <si>
    <t>มีประสิทธิภาพดีกว.ายารับประทาน</t>
  </si>
  <si>
    <t>ใช(กับผู(หญิงที่เป5นไมเกรนแบบมีออร.าได(</t>
  </si>
  <si>
    <t>ไม.มีอันตรกิริยากับยาที่เหนี่ยวนำเอนไซม</t>
  </si>
  <si>
    <t>ความร.วมมือในการใช(ยาดีกว.ายารับประทาน progestin</t>
  </si>
  <si>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</si>
  <si>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56 (PLE_CC1_2561_Key.md)</t>
  </si>
  <si>
    <t>หากต(องการเปลี่ยนระบบกระจายยาจาก three day dose เป5น one day dose จะต(องใช(ระบบใดประกันคุณภาพ mm</t>
  </si>
  <si>
    <t>GMP</t>
  </si>
  <si>
    <t>PIC/s</t>
  </si>
  <si>
    <t>PDCA</t>
  </si>
  <si>
    <t>HACCP</t>
  </si>
  <si>
    <t>GMP QA plando then at</t>
  </si>
  <si>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</si>
  <si>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86 (PLE_CC1_2561_Key.md)</t>
  </si>
  <si>
    <t>ยา Progestins ที่นิยมใช้ใน Progesterone only pills (POPs)</t>
  </si>
  <si>
    <t>Norgestrel</t>
  </si>
  <si>
    <t>Norgestimate</t>
  </si>
  <si>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</si>
  <si>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ยาคุมก้าเนิดในข้อใด เหมาะสมที่สุด (โจทย์มีแค่นี แหละ)</t>
  </si>
  <si>
    <t>Ethinyl estradiol + Desogestrel</t>
  </si>
  <si>
    <t>Ethinyl estradiol + Levonorgestrel</t>
  </si>
  <si>
    <t>Ethinyl estradiol + Gestodene รวมโดย Phongsathorn Phlaisaithong Rx 9 UP 19 | P a g e</t>
  </si>
  <si>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</si>
  <si>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หากพบว่ากินยาคุมดังข้อ 41 แล้วปรากฏว่าลืมรับประทานมา 1 อาทิตย์ ซึ่งในช่วงนี พบว่ามีเพศสัมพันธ์กับสามี ท่าน จะแนะน้าอย่างไร</t>
  </si>
  <si>
    <t>รับประทานยาคุมต่อไปตามปกติ</t>
  </si>
  <si>
    <t>รับประทานยาทันที 1 เม็ด และทานยาต่อไปตามปกติ</t>
  </si>
  <si>
    <t>รับประทานยาทันที 1 เม็ด และทานยาต่อไปตามปกติพร้อมทั งคุมก้าเนิดวิธีอื่นร่วมด้วย 7 วัน</t>
  </si>
  <si>
    <t>หยุดรับประทานยาทันที รอประจ้าเดือนมาและเริ่มรับประทานยาแผงใหม่</t>
  </si>
  <si>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</si>
  <si>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</si>
  <si>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42 (PLE_CC1_2559.md)</t>
  </si>
  <si>
    <t>ผู้ป่วยหญิงอายุ 16 ปี ให้ EE 30 + levonorgestrel 150 เป็นสิว น้ำหนักขึ้น มาปรึกษาที่ร้านยาข้อห้ามใช้ COC ในการคุมกำเนิด ยกเว้น ข้อใด</t>
  </si>
  <si>
    <t>IHD</t>
  </si>
  <si>
    <t>DVT</t>
  </si>
  <si>
    <t>DM</t>
  </si>
  <si>
    <t>มะเร็งตับ</t>
  </si>
  <si>
    <t>โรคหลอดเลือดสมอง</t>
  </si>
  <si>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</si>
  <si>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77 (PLE_CC1_2558_Key.md)</t>
  </si>
  <si>
    <t>หากต้องการควบคุมน้ำหนักต้องใช้ progestin ตัวใด</t>
  </si>
  <si>
    <t>Cyproterone</t>
  </si>
  <si>
    <t>Norgesthimate</t>
  </si>
  <si>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</si>
  <si>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78 (PLE_CC1_2558_Key.md)</t>
  </si>
  <si>
    <t>วิธีการกินยาคุมฉุกเฉินที่ถูกต้อง</t>
  </si>
  <si>
    <t>กิน levonorgrestrel 150 mcg 2 เม็ดใน 72 ชั่วโมง และตามด้วย 2 เม็ด ใน 12 ชม.ต่อมา</t>
  </si>
  <si>
    <t>กิน levonorgrestrel 150 mcg 1 เม็ดใน 72 ชั่วโมง และตามด้วย 2 เม็ด ใน 12 ชม.ต่อมา</t>
  </si>
  <si>
    <t>กิน levonorgrestrel 150 mcg 2 เม็ดใน 72 ชั่วโมง และตามด้วย 1 เม็ด ใน 12 ชม.ต่อมา</t>
  </si>
  <si>
    <t>กินยาคุม COC ที่มีปริมาณ EE รวม 300 mcg ใน 72ชั่วโมง และตามด้วย EE 300 mcg อีกครั้งใน 12 ชม.ต่อมา</t>
  </si>
  <si>
    <t>กิน levonorgrestrel 150 mcg 1 เม็ดใน 72 ชั่วโมง และตามด้วย 1 เม็ด ใน 12 ชม.ต่อมา</t>
  </si>
  <si>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</si>
  <si>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79 (PLE_CC1_2558_Key.md)</t>
  </si>
  <si>
    <t>ยาคุมที่หญิงให้นมบุตรไม่ควรใช้</t>
  </si>
  <si>
    <t>แผ่นแปะคุมกำเนิด</t>
  </si>
  <si>
    <t>Minipills</t>
  </si>
  <si>
    <t>DMPA IM</t>
  </si>
  <si>
    <t>DMPA SC</t>
  </si>
  <si>
    <t>ห่วงคุมกำเนิด</t>
  </si>
  <si>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</si>
  <si>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80 (PLE_CC1_2558_Key.md)</t>
  </si>
  <si>
    <t>ห่วงคุมกำเนิดมีระบบการนำส่งยาแบบใด</t>
  </si>
  <si>
    <t>Vaginal release system</t>
  </si>
  <si>
    <t>Sustained release system</t>
  </si>
  <si>
    <t>Osmotic release system</t>
  </si>
  <si>
    <t>Immediate release system</t>
  </si>
  <si>
    <t>Pulse release system</t>
  </si>
  <si>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</si>
  <si>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การใช้ยาคุมกำเนิดชนิดแผ่นแปะ โดยติดแผ่น 1 แผ่น/สัปดาห์ ติดต่อกัน 3 สัปดาห์ และเว้น 1 สัปดาห์ กราฟการ ปลดปล่อยยาเป็นข้อใด</t>
  </si>
  <si>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</si>
  <si>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ภาวะใดต่อไปนี้สามารถใช้ฮอร์โมนในการรักษาหรือทดแทนในกลุ่มที่ขาดฮอร์โมนได้</t>
  </si>
  <si>
    <t>เบาหวานร่วมกับภาวะไขมันในเลือดสูง</t>
  </si>
  <si>
    <t>ภาวะลิ่มเลือดอุดตันหลอดเลือดดำ หรือภาวะหลอดเลือดดำอักเสบ</t>
  </si>
  <si>
    <t>ภาวะตับอักเสบเฉียบพลัน</t>
  </si>
  <si>
    <t>เลือดออกผิดปกติทางชองคลอดโดยไม่ทราบสาเหตุ</t>
  </si>
  <si>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</si>
  <si>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69 (Pharmtutor_2024_Set1.md)</t>
  </si>
  <si>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</si>
  <si>
    <t>มีเพศสัมพันธ์แบบไม่สวมถุงยางอนามัย</t>
  </si>
  <si>
    <t>การสวนล้างช่องคลอด</t>
  </si>
  <si>
    <t>การรับประทานยาชนิดฮอร์โมนรวม</t>
  </si>
  <si>
    <t>การรับประทานอาหารหมักดอง</t>
  </si>
  <si>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</si>
  <si>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42 (Pharmtutor_2024_Set2.md)</t>
  </si>
  <si>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</si>
  <si>
    <t>การใช้ Progestin เดี่ยวให้ผลดีกว่าการใช้สูตรผสม</t>
  </si>
  <si>
    <t>การใช้สูตรผสม Estrogen สามารถขับออกทางน้ำนมอาจส่งผลข้างเคียงให้ทารกได้</t>
  </si>
  <si>
    <t>Estrogen ทำให้ปริมาณของน้ำนมลดลง</t>
  </si>
  <si>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</si>
  <si>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</si>
  <si>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66 (Pharmtutor_2024_Set2.md)</t>
  </si>
  <si>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</si>
  <si>
    <t>ข้อ a และ b ถูก</t>
  </si>
  <si>
    <t>ข้อ a b และ c ถูก</t>
  </si>
  <si>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</si>
  <si>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 67 (Pharmtutor_2024_Set2.md)</t>
  </si>
  <si>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</si>
  <si>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</si>
  <si>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38 (PLE_CC1_2557.md)</t>
  </si>
  <si>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</si>
  <si>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</si>
  <si>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40 (PLE_CC1_2557.md)</t>
  </si>
  <si>
    <t>ควรจ่ายยาคุมกำเนิดแบบไหนให้แก่ผู้หญิงรายนี้</t>
  </si>
  <si>
    <t>Ethenyl estradiol + Desogestrel</t>
  </si>
  <si>
    <t>Ethenyl estradiol + Norethisterone</t>
  </si>
  <si>
    <t>Ethenyl estradiol + Cyproterone acetate</t>
  </si>
  <si>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</si>
  <si>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71 (PLE_CC1_2555 Day 1.md)</t>
  </si>
  <si>
    <t>ข้อใดคือเหตุผลในการเลือกยาคุมกำเนิดข้างต้น</t>
  </si>
  <si>
    <t>เพราะมีฮอร์โมนบางชนิดสามารถยับยั้งการหลั่งฮอร์โมน prolactin</t>
  </si>
  <si>
    <t>เพราะผนังมดลูกยังไม่แข็งแรงพอ</t>
  </si>
  <si>
    <t>เพื่อป้องกันผนังมดลูกหนาตัวขึ้น</t>
  </si>
  <si>
    <t>.........</t>
  </si>
  <si>
    <t>...........</t>
  </si>
  <si>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</si>
  <si>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72 (PLE_CC1_2555 Day 1.md)</t>
  </si>
  <si>
    <t>หากผู้ป่วยไม่ต้องการมีประจำเดือนอีกแล้ว และไม่มีข้อห้ามใช้ Estrogen จะต้องได้ยาคุมกำเนิดแบบใด</t>
  </si>
  <si>
    <t>Estrogen เดี่ยวๆ 28 เม็ด</t>
  </si>
  <si>
    <t>Progestrin เดี่ยวๆ 28 เม็ด</t>
  </si>
  <si>
    <t>Estrogen + progestrin อย่างละ 28 เม็ด</t>
  </si>
  <si>
    <t>Estrogen 21 เม็ด + progestrin 7 เม็ด</t>
  </si>
  <si>
    <t>Estrogen 16 เม็ด + progestrin 12 เม็ด คณะเภสัชศาสตร์ มหาวิทยาลัยเชียงใหม่ Rx 44 CMU</t>
  </si>
  <si>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 มหาวิทยาลัยเชียงใหม่ Rx 44 CMU): Estrogen 16 เม็ด + progestrin 12 เม็ด คณะเภสัชศาสตร์ มหาวิทยาลัยเชียงใหม่ Rx 44 CMU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</si>
  <si>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73 (PLE_CC1_2555 Day 1.md)</t>
  </si>
  <si>
    <t>หากผู้ป่วยเป็น cystitis แล้วเกิดตั้งครรภ์ ควรเปลี่ยนยา ciprofloxacin เป็นยาในข้อใดสำหรับผู้ป่วยรายนี้</t>
  </si>
  <si>
    <t>Cefalexin</t>
  </si>
  <si>
    <t>......</t>
  </si>
  <si>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</si>
  <si>
    <t>ข้อ 91 (PLE_CC1_2555 Day 1.md)</t>
  </si>
  <si>
    <t>เหตุใดจึงต้องระมัดระวังในการยาคุมกำเนิดที่มี Estrogen ให้กับหญิงที่อยู่ระหว่างให้นมบุตร</t>
  </si>
  <si>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</si>
  <si>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เนื่องจากยาอาจมีผลลดฮอร์โมน Prolactin</t>
  </si>
  <si>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</si>
  <si>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เนื่องจากในหญิงให้นมบุตรมีผนังมดลูกที่บางอยู่แล้ว การใช้ยาคุมกำเนิดอาจทำให้เกิดเลือดออกระปริบกระ ปรอยได้</t>
  </si>
  <si>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</si>
  <si>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ผู้ป่วยที่มีภาวะใดมีห้ามใช้ฮอร์โมนที่ประกอบด้วย Estrogen</t>
  </si>
  <si>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</si>
  <si>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ผู้ที่ตัดมดลูกไปแล้วสามารถใช้ estrogen อย่างเดียวได้</t>
  </si>
  <si>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</si>
  <si>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ข้อดีของยาคุมกำเนิดในรูปแผ่นแปะที่แตกต่างจากยาคุมกำเนิดแบบรับประทานคือข้อใด</t>
  </si>
  <si>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</si>
  <si>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 9 (PLE_CC1_2555 Day 2.md)</t>
  </si>
  <si>
    <t>ห้ามใช้ในหญิงตั้งครรภ์ เนื่องจากเป็น Pregnancy Category X</t>
  </si>
  <si>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</si>
  <si>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</si>
  <si>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</si>
  <si>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ยาฆ่าเชื้อในข้อใดมีข้อห้ามใช้ในระหว่างการตั้งครรภ์ (Pregnancy category X)</t>
  </si>
  <si>
    <t>Amoxycillin</t>
  </si>
  <si>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</si>
  <si>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ข้อใดไม่ใช่ข้อบ่งใช้ของ Estrogen replacement</t>
  </si>
  <si>
    <t>ผู้ป่วยตัดรังไข่จากการเป็นเนื้องอก</t>
  </si>
  <si>
    <t>ทนแทนในสตรีวัยหมดประจำเดือน</t>
  </si>
  <si>
    <t>ป้องกันกระดูกพรุน</t>
  </si>
  <si>
    <t>มีอาการจาก vasomotor symptoms</t>
  </si>
  <si>
    <t>อาการทางระบบสืบพันธุ์หรือระบบขับถ่ายปัสสาวะ จงใช้โครงสร้างของ Estradiol ตอบคำถามข้อ 27</t>
  </si>
  <si>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</si>
  <si>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</si>
  <si>
    <t>ตาปลาเกิดจากการสวมรองเท้าที่ไม่พอดี</t>
  </si>
  <si>
    <t>ตาปลาเกิดจากการไม่ชอบสวมรองเท้าเดิน</t>
  </si>
  <si>
    <t>ตาปลาอาจเกิดได้จากรูปเท้าที่ผิดปกติ</t>
  </si>
  <si>
    <t>ตาปลาเกิดจากการติดเชื้อ ซึ่งมักเกิดตามมาหลังจากเป็นแผลที่เท้า</t>
  </si>
  <si>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</si>
  <si>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</si>
  <si>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จากข้อ 28 หากผู้ป่วยกำลังตั้งครรภ์ ควรได้รับการรักษาด้วยยาในข้อใด</t>
  </si>
  <si>
    <t>1% Gamma-benzene hexachloride ข. 25 % Benzyl benzoate</t>
  </si>
  <si>
    <t>12.5 % Benzyl benzoate</t>
  </si>
  <si>
    <t>10 - 15% Precipitated sulfur</t>
  </si>
  <si>
    <t>5% Permethrin cream</t>
  </si>
  <si>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</si>
  <si>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ผู้ป่วยที่ตั้งครรภ์</t>
  </si>
  <si>
    <t>ข้อใดผิดเกี่ยวกับกลไกออกฤทธิ์ของยาคุมกำเนิด</t>
  </si>
  <si>
    <t>Estrogen ยับยั้งการหลั่ง FSH กดการเจริญของ follicle</t>
  </si>
  <si>
    <t>Progesterone ยับยั้งการหลั่ง LH ทำให้ไม่เกิดการตกไข่</t>
  </si>
  <si>
    <t>Estrogen มีผลทำให้มูกที่ปากมดลูกข้นเหนียว ทำให้ sperm ผ่านได้ยาก</t>
  </si>
  <si>
    <t>ปริมาณของ hormone เพิ่มมากขึ้น มีผลต่อการ contraction ของ uterus และ fallopian tube</t>
  </si>
  <si>
    <t>ปริมาณ Estrogen และ Progesterone ไม่เหมาะสมต่อการฝังตัวของตัวอ่อน</t>
  </si>
  <si>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</si>
  <si>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ยาคุมกำเนิดรับประทานขณะให้นมบุตร คือข้อใด</t>
  </si>
  <si>
    <t>Ethinyl estradiol + Desogestrol</t>
  </si>
  <si>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</si>
  <si>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</si>
  <si>
    <t>ควรเลือกจ่าย POPs ก่อน COCs เพราะ POPs ไม่จำเป็นต้องกินยาให้ตรงเวลาเหมือน COCs</t>
  </si>
  <si>
    <t>สามารถเริ่มกินยาในวันใดก็ได้ ที่มั่นใจว่าไม่มีการตั้งครรภ์ และไม่ต้องมีการ Back Up</t>
  </si>
  <si>
    <t>เริ่มกินยาภายในไม่เกิน 5 วันแรกของการมีประจำเดือน และต้องทำการ Back Up 7 วัน</t>
  </si>
  <si>
    <t>กรณีลืมกินยา 1 เม็ด สามารถกินยาเม็ดที่ลืมทันทีที่นึกได้ แล้วกินเม็ดต่อไปได้ตามปกติ</t>
  </si>
  <si>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</si>
  <si>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</si>
  <si>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ยาใดห้ำมให้ในหญิงตั้งครรภ์</t>
  </si>
  <si>
    <t>ผู้หญิงต้องคุมกำเนิดตั้งแต่เดือนแรกที่ใช้ยา</t>
  </si>
  <si>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</si>
  <si>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</si>
  <si>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เนื่องจากยาสามารถผ่านน้ำนมได้และอาจมีผลต่อตับของทารก</t>
  </si>
  <si>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</si>
  <si>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</si>
  <si>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ลมชัก</t>
  </si>
  <si>
    <t>มีภาวะลิ่มเลือดอุดตัน</t>
  </si>
  <si>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</si>
  <si>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Patch ทำให้เกิดผลข้างเคียงได้น้อยกว่า oral contraceptive</t>
  </si>
  <si>
    <t>Patch ไม่ทำให้เกิดมะเร็งเต้านมเหมือน oral contraceptive</t>
  </si>
  <si>
    <t>Patch ลด first pass metabolism ของ oral contraceptive</t>
  </si>
  <si>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</si>
  <si>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หากผู้ป่วย cystitis รายนี้กำลังตั้งครรภ์ด้วย ควรพิจารณายาใดให้แก่ผู้ป่วย</t>
  </si>
  <si>
    <t>หากพบว่าผู้ป่วยตั้งครรภ์ ควรเปลี่ยนการรักษาอย่างไร ( ผู้ป่วยถูก diagnosi เป็น Tricomonas vaginalis ได้รับยารักษาด้วยยา Metronidazole 500 mg BID x 7 )</t>
  </si>
  <si>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</si>
  <si>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ถ้าผู้ป่วยรายนี้ ซึ่งเป็นโรค psoriasis ตั้งครรภ์จะสามารถใช้ยาใดต่อไปนี้ได้</t>
  </si>
  <si>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</si>
  <si>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115</t>
  </si>
  <si>
    <t>ผู้หญิงวัยเจริญพันธุ์ไม่ต้องคุมกำเนิด</t>
  </si>
  <si>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</si>
  <si>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116</t>
  </si>
  <si>
    <t>ไม่ต้องคุมกำเนิดในระหว่างการรับประทานยา</t>
  </si>
  <si>
    <t>117</t>
  </si>
  <si>
    <t>ไม่ต้องคุมกำเนิดก่อน แต่คุมระหว่างได้รับยา</t>
  </si>
  <si>
    <t>118</t>
  </si>
  <si>
    <t>คุมกำเนิดก่อนใช้ยา 1 เดือน และระหว่างใช้ยา</t>
  </si>
  <si>
    <t>119</t>
  </si>
  <si>
    <t>คุมกำเนิดก่อนใช้ยา 1 เดือน และหลังใช้ยา 3 เดือน</t>
  </si>
  <si>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</si>
  <si>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120</t>
  </si>
  <si>
    <t>คุมกำเนิดก่อนใช้ยา 1 เดือน ระหว่างใช้ยา และหลังใช้ยา 1 เดือน</t>
  </si>
  <si>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</si>
  <si>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121</t>
  </si>
  <si>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</si>
  <si>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</si>
  <si>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122</t>
  </si>
  <si>
    <t>วิธีการคุมกำเนิดใดเหมาะสมกับผู้ป่วยรายนี้ - ._</t>
  </si>
  <si>
    <t>123</t>
  </si>
  <si>
    <t>ถ้าผู้ป่วยตัดสินใจเลือกยาคุมแบบรับประทาน ยาคุมชนิดใดที่เหมาะสมกับผู้ป่วยรายนี้</t>
  </si>
  <si>
    <t>ข้อ 77 (PLE_CC1_Key_Rx20_UBU.md)</t>
  </si>
  <si>
    <t>124</t>
  </si>
  <si>
    <t>EE 30 + drospirenone</t>
  </si>
  <si>
    <t>125</t>
  </si>
  <si>
    <t>EE 30 + Levonorgestrel</t>
  </si>
  <si>
    <t>126</t>
  </si>
  <si>
    <t>คำแนะนำในการใช้ยาคุมกำเนิด ในเรื่องของอาการไม่พึงประสงค์คือข้อใด</t>
  </si>
  <si>
    <t>127</t>
  </si>
  <si>
    <t>หากมีประจำเดือนมากผิดปกติ ให้แจ้งเพื่อปรับขนาดยาให้มี Estrogen ที่สูงขึ้น</t>
  </si>
  <si>
    <t>128</t>
  </si>
  <si>
    <t>หากผู้ป่วยใช้ยาคุมกำเนิดชนิด EE 30 าg แล้วลืมกินไป 2 เม็ดจะต้องให้คำแนะนำแก่ผู้ป่วยอย่างไร -</t>
  </si>
  <si>
    <t>129</t>
  </si>
  <si>
    <t>ให้กิน 2 เม็ดทันที แล้วกินต่อตามปกติและใช้การคุมกำเนิดวิธีอื่นร่วมด้วย</t>
  </si>
  <si>
    <t>130</t>
  </si>
  <si>
    <t>ให้กินยาวันละ 2 เม็ด เป็นเวลา 2 วัน แล้วกินต่อตามปกติและใช้การคุมกำเนิดวิธีอื่นร่วม</t>
  </si>
  <si>
    <t>131</t>
  </si>
  <si>
    <t>ให้กินยาคุมกำเนิดฉุกเฉินทันที</t>
  </si>
  <si>
    <t>132</t>
  </si>
  <si>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</si>
  <si>
    <t>133</t>
  </si>
  <si>
    <t>ยาใดมีอันตรกิริยากับยาคุมกำเนิดอย่างมีนัยสำคัญทางคลินิก ๐ และใhการsมtเuดvนwวมxายาyน -</t>
  </si>
  <si>
    <t>ข้อ 80 (PLE_CC1_Key_Rx20_UBU.md)</t>
  </si>
  <si>
    <t>134</t>
  </si>
  <si>
    <t>Metronidazole ตอบ 4. Rifampicin ผ่าน CYP 2C9 inducer เพิ่มการ metabolism ของยาคุมกำเนิด ทำให้ลด efficacy ของยาคุมกำเนิดลง - -0</t>
  </si>
  <si>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</si>
  <si>
    <t>135</t>
  </si>
  <si>
    <t>EE 0.035 mg + cypoterone acetate 2 mg เพื่อนแนะนำให$ซื้อยา isotetrinoin capsule ทางอินเตอร_เนต</t>
  </si>
  <si>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</si>
  <si>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136</t>
  </si>
  <si>
    <t>ต$องคุมกำเนิดกGอนใช$ยา 1 เดือน</t>
  </si>
  <si>
    <t>137</t>
  </si>
  <si>
    <t>ไมGควรเริ่มยาคุมกำเนิดในวันแรกที่มีประจำเดือน เนื่องจากจะทำให$....</t>
  </si>
  <si>
    <t>138</t>
  </si>
  <si>
    <t>หากลืมกินยาคุมกำเนิด 2 เม็ดใน 14 วันแรกให$รับประทานมื้อตGอไปได$ปกติ</t>
  </si>
  <si>
    <t>139</t>
  </si>
  <si>
    <t>หากลืมทานยาคุมกำเนิด 2 เม็ดใน 14 วันหลัง ให$รับประทานยาคุม 2 เม็ดเปญนเวลา 2 วันและคุมกำเนิดอื่นรGวมด$วย 7 วัน</t>
  </si>
  <si>
    <t>140</t>
  </si>
  <si>
    <t>ข$อใดไมGใชGอาการไมGพึงประสงค_จากการใช$ยาคุมกำเนิดชนิดฮอร_โมนรวม</t>
  </si>
  <si>
    <t>ข้อ 43 (PLE_CC1_Key_Rx20_UBU.md)</t>
  </si>
  <si>
    <t>141</t>
  </si>
  <si>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</si>
  <si>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</si>
  <si>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142</t>
  </si>
  <si>
    <t>ข$อใดเปญนวิธีการแก$ไขอาการไมGพึงประสงค_จากยาคุมกำเนิดชนิดฮอร_โมรวมที่เหมาะสมที่สุด</t>
  </si>
  <si>
    <t>ข้อ 44 (PLE_CC1_Key_Rx20_UBU.md)</t>
  </si>
  <si>
    <t>143</t>
  </si>
  <si>
    <t>ในชGวง 1-10 วันแรกของการใช$ยาคุมกำเนิด หากมีเลือดออกกระปØดกระปอยควรปรับเพิ่มปริมาณ เอสโตรเจนให$สูงขึ้น</t>
  </si>
  <si>
    <t>144</t>
  </si>
  <si>
    <t>หากผู้ป่วยให้นมบุตร ไม่ควรใช้ยาคุมกำเนิดแบบใด</t>
  </si>
  <si>
    <t>145</t>
  </si>
  <si>
    <t>ยาคุมแบบห่วงอนามัย</t>
  </si>
  <si>
    <t>146</t>
  </si>
  <si>
    <t>ยาคุมแบบฝังใต้ผิวหนัง</t>
  </si>
  <si>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</si>
  <si>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147</t>
  </si>
  <si>
    <t>ยาคุมแบบฉีด</t>
  </si>
  <si>
    <t>148</t>
  </si>
  <si>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</si>
  <si>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</si>
  <si>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149</t>
  </si>
  <si>
    <t>ห่วงคุมกำเนิดมีการออกฤทธิ์แบบใด</t>
  </si>
  <si>
    <t>เมื่อใช้ยาคุมกำเนิดแล้วพบว่ามีเลือดออกกระปริดกระปอยเกิดจากสาเหตุต่อไปนี้ ยกเว้นข้อใด</t>
  </si>
  <si>
    <t>151</t>
  </si>
  <si>
    <t>ปริมาณ estrogen และ progesterone น้อยเกินไป</t>
  </si>
  <si>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</si>
  <si>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152</t>
  </si>
  <si>
    <t>กินยาคุมไม่สม่ำเสมอ</t>
  </si>
  <si>
    <t>153</t>
  </si>
  <si>
    <t>ผู้ป่วยใช้ยาคุมกำเนิดชนิดรับประทาน (E+P) แล้วมีปัญหาเรื่องน้ำหนักตัวเพิ่มขึ้น และมีสิว จะแก้ปัญหาดังกล่าวโดยเปลี่ยนมาใช้ progestin ตัวใด</t>
  </si>
  <si>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</si>
  <si>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154</t>
  </si>
  <si>
    <t>ข้อใดไม่ใช้ข้อห้ามในการใช้ยาคุมกำเนิด</t>
  </si>
  <si>
    <t>155</t>
  </si>
  <si>
    <t>Tamoxifen เป็น non-steroidal antiestrogen</t>
  </si>
  <si>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</si>
  <si>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156</t>
  </si>
  <si>
    <t>ยา Progestins ใดที่นิยมใช้ใน Progesterone only pills (POPs)</t>
  </si>
  <si>
    <t>157</t>
  </si>
  <si>
    <t>ยาคุมกำเนิดในข้อใด เหมาะสมที่สุด (โจทย์มีแค่นี้)</t>
  </si>
  <si>
    <t>Ethinyl estradiol + Gestodene ในการใช้เป็นยาคุมฉุกเฉิน</t>
  </si>
  <si>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</si>
  <si>
    <t>158</t>
  </si>
  <si>
    <t>โครงสร้างในข้อใดมีฤทธิ์ Estrogenic activity</t>
  </si>
  <si>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</si>
  <si>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88 (PLE_CC1_Key_Rx20_UBU.md)</t>
  </si>
  <si>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</si>
  <si>
    <t>Neisseria gonorrhoeae</t>
  </si>
  <si>
    <t>Chlamydia trachomatis</t>
  </si>
  <si>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</si>
  <si>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Conjunctivitis</t>
  </si>
  <si>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</si>
  <si>
    <t>Dexamethasone eye drop</t>
  </si>
  <si>
    <t>Oxymetazoline eye drop</t>
  </si>
  <si>
    <t>Idoxuridine eye drop</t>
  </si>
  <si>
    <t>Artificial tear</t>
  </si>
  <si>
    <t>Chloramphenicol eye drop</t>
  </si>
  <si>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</si>
  <si>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กลไกการออกฤทธิ์ของยาในข้อข้างต้น คือ</t>
  </si>
  <si>
    <t>ยับยั้งการสังเคราะห์ DNA ของเชื้อ</t>
  </si>
  <si>
    <t>ยับยั้งการสร้างโปรตีนของเชื้อ</t>
  </si>
  <si>
    <t>ยับยั้งการสังเคราะห์ RNA ของเชื้อ</t>
  </si>
  <si>
    <t>ยับยั้งการเคลื่อนที่ของ leukocytes</t>
  </si>
  <si>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</si>
  <si>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Glaucoma, Cataract</t>
  </si>
  <si>
    <t>ข้อใดถูกต้องเกี่ยวกับการเก็บยาในข้อข้างต้นหลังจากเปิดใช้แล้ว</t>
  </si>
  <si>
    <t>อุณหภูมิ 25 c เก็บได้ 8 week</t>
  </si>
  <si>
    <t>อุณหภูมิ 25 c เก็บได้ 4 week</t>
  </si>
  <si>
    <t>อุณหภูมิ 2-8 c เก็บได้ 8 week</t>
  </si>
  <si>
    <t>อุณหภูมิ 2-8 c เก็บได้ 4 week</t>
  </si>
  <si>
    <t>อุณหภูมิ 8-15 c เก็บได้ 4 week</t>
  </si>
  <si>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</si>
  <si>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จากอาการข้างต้น ท่านจะเลือกยาตัวใด</t>
  </si>
  <si>
    <t>Prednisolone eye drop</t>
  </si>
  <si>
    <t>Antazoline eye drop</t>
  </si>
  <si>
    <t>Boric acid eye drop</t>
  </si>
  <si>
    <t>Hydroxypropyl methylcellulose eye drop</t>
  </si>
  <si>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</si>
  <si>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6 Pharma Plus เล่มม่วง (เฉลยข้อ ข)</t>
  </si>
  <si>
    <t>กรณีจ่ายยาหยอดตาให้กับผู้ป่วยต้องแนะนำเรื่องต่อไปนี้ ยกเว้น</t>
  </si>
  <si>
    <t>ควรล้างมือให้สะอาดก่อนใช้ยา</t>
  </si>
  <si>
    <t>ปรับอุณหภูมิให้เท่าอุณหภูมิร่างกาย</t>
  </si>
  <si>
    <t>เก็บยาในถาดใต้ช่องแช่แข็งของตู้เย็น</t>
  </si>
  <si>
    <t>หลังจากเปิดใช้ยาแล้ว ใช้ได้ไม่เกิน 1 เดือน</t>
  </si>
  <si>
    <t>กรณีที่ใช้ยาป้ายร่วมด้วย ให้ใช้ยาหยอดก่อนป้ายตา</t>
  </si>
  <si>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</si>
  <si>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กรณีใดที่ต้องรีบส่งต่อผู้ป่วยรายนี้ไปโรงพยาบาล</t>
  </si>
  <si>
    <t>ใช้ยาแล้วแสบตา</t>
  </si>
  <si>
    <t>ใช้ยาแล้วมีอาการขมที่ลิ้น</t>
  </si>
  <si>
    <t>การมองภาพ เห็นภาพซ้อน</t>
  </si>
  <si>
    <t>ใช้ยา 1 วันและขี้ตาไม่หายไป</t>
  </si>
  <si>
    <t>มีอาการปวดศีรษะร่วมด้วย</t>
  </si>
  <si>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</si>
  <si>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</si>
  <si>
    <t>Otitis media</t>
  </si>
  <si>
    <t>Influenza</t>
  </si>
  <si>
    <t>Tonsillitis</t>
  </si>
  <si>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</si>
  <si>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อาการที่เกิดขึ้นสามารถเกิดได้จากเชื้อจุลชีพต่อไปนี้ ยกเว้นข้อใด</t>
  </si>
  <si>
    <t>Hemophilus influenza</t>
  </si>
  <si>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</si>
  <si>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ยาต้านจุลชีพที่ควรเลือกใช้เป็นอันดับแรกสำหรับผู้ป่วยรายนี้คือ</t>
  </si>
  <si>
    <t>Sulfamethoxazole + trimethoprim</t>
  </si>
  <si>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</si>
  <si>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ข้อใดผิดเกี่ยวกับยาที่เลือกใช้ในข้อข้างต้น</t>
  </si>
  <si>
    <t>มีฤทธิ์เป็น bacteriostatic</t>
  </si>
  <si>
    <t>หากเกิดการแพ้จะพบผื่นแพ้แบบ erythema multiforme</t>
  </si>
  <si>
    <t>กลไกการดื้อยาที่สำคัญคือเชื้อสร้าง beta-lactamase มาทำลายยา</t>
  </si>
  <si>
    <t>โดยทั่วไปกลุ่มนี้ออกฤทธิ์ต่อแบคทีเรียแกรมบวกได้ดีกว่าแบคทีเรียแกรมลบ</t>
  </si>
  <si>
    <t>ได้รับยาในขนาดสูง (toxic dose) ทำให้เกิด neuromuscular hypersensitivity</t>
  </si>
  <si>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</si>
  <si>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12 Pharma Plus เล่มม่วง (เฉลยข้อ ก ข จ)</t>
  </si>
  <si>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</si>
  <si>
    <t>รับประทานยาครั้งละ 1/4 ช้อนชา วันละ 4 ครั้ง</t>
  </si>
  <si>
    <t>รับประทานยาครั้งละ 1/2 ช้อนชา วันละ 3 ครั้ง</t>
  </si>
  <si>
    <t>รับประทานยาครั้งละ 3/4 ช้อนชา วันละ 3 ครั้ง</t>
  </si>
  <si>
    <t>รับประทานยาครั้งละ 1 ช้อนชา วันละ 3 ครั้ง</t>
  </si>
  <si>
    <t>รับประทานยาครั้งละ 1 ช้อนชา วันละ 4 ครั้ง</t>
  </si>
  <si>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</si>
  <si>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ชายอายุ 22 ปี มีอาการคันตา ตาแดง 2 ข้าง น้ำตาไหล ไม่มีขี้ตา ไม่ปวดตา เป็นมา 2-3 วัน มักเป็นบ่อยช่วงฤดูฝน
ผู้ป่วยรายนี้เป็นโรคอะไร</t>
  </si>
  <si>
    <t>Blepharitis</t>
  </si>
  <si>
    <t>Hordeolum</t>
  </si>
  <si>
    <t>Bacterial conjunctivitis</t>
  </si>
  <si>
    <t>Allergic conjunctivitis</t>
  </si>
  <si>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</si>
  <si>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</si>
  <si>
    <t>ใส่ contact lens ตามปกติแล้วหยอดตา</t>
  </si>
  <si>
    <t>ใส่ contact lens ให้น้อยลง เช่น วันเว้นวัน</t>
  </si>
  <si>
    <t>หากจำเป็นต้องหยอดตา ให้หยอดตาก่อนใส่ contact lens 1-2 นาที</t>
  </si>
  <si>
    <t>หากจำเป็นต้องหยอดตา ให้ใส่ contact lens ก่อนหยอดตา</t>
  </si>
  <si>
    <t>งดใส่ contact lens ในช่วงที่มีอาการ</t>
  </si>
  <si>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</si>
  <si>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ข้อใดไม่ใช่ ophthalmic decongestant</t>
  </si>
  <si>
    <t>Boric acid</t>
  </si>
  <si>
    <t>Naphazoline</t>
  </si>
  <si>
    <t>Tetrahydrozoline</t>
  </si>
  <si>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</si>
  <si>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กรณีที่ผู้ป่วยเป็นตาแดงจากการติดเชื้อ เชื้อในข้อใดเป็นสาเหตุที่พบได้บ่อย</t>
  </si>
  <si>
    <t>Acinetobacter spp.</t>
  </si>
  <si>
    <t>Buekholderia pseudomallei</t>
  </si>
  <si>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</si>
  <si>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17 Pharma Plus เล่มม่วง (เฉลยข้อ ข)</t>
  </si>
  <si>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</si>
  <si>
    <t>โรคต้อกระจก</t>
  </si>
  <si>
    <t>โรคตาแดง</t>
  </si>
  <si>
    <t>โรคต้อเนื้อ</t>
  </si>
  <si>
    <t>โรคต้อกุ้งยิง</t>
  </si>
  <si>
    <t>โรคต้อหิน</t>
  </si>
  <si>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</si>
  <si>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</si>
  <si>
    <t>เกิดจากความดันโลหิตสูงกว่าปกติ</t>
  </si>
  <si>
    <t>สามารถพบได้ในผู้ที่มีการใช้ steroid เป็นประจำ</t>
  </si>
  <si>
    <t>หากไม่รับการรักษาจะทำให้เกิดตาบอดได้</t>
  </si>
  <si>
    <t>การรักษาสามารถใช้ยาหยอดตา atropine เพื่อควบคุมอาการได้</t>
  </si>
  <si>
    <t>แพทย์จะพิจารณารักษาตาอีกข้าง (ในกรณีที่เป็นตาข้างเดียว) เฉียบพลันในอนาคตได้</t>
  </si>
  <si>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</si>
  <si>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19 Pharma Plus เล่มม่วง (เฉลยข้อ ก ง)</t>
  </si>
  <si>
    <t>สารชนิดใดที่สามารถใช้รักษาได้โดยมีฤทธิ์ลด aqueous humor ภายในลูกตา</t>
  </si>
  <si>
    <t>Mannitol</t>
  </si>
  <si>
    <t>Carbachol</t>
  </si>
  <si>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</si>
  <si>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ข้อใดเป็นคำแนะนำการใช้ยาตาที่ไม่ถูกต้อง</t>
  </si>
  <si>
    <t>ล้างมือให้สะอาดก่อนและหลังหยอดตา</t>
  </si>
  <si>
    <t>เอนตัวไปข้างหน้าเล็กน้อย</t>
  </si>
  <si>
    <t>ดึงหนังตาล่างออกเป็นกระพุ้ง</t>
  </si>
  <si>
    <t>เมื่อหยอดยาเสร็จ กดที่หัวตาเบาๆ 2-3 นาที เพื่อมีให้ยาไหลลงในท่อน้ำตา</t>
  </si>
  <si>
    <t>หากต้องหยอดยาตา 2 ชนิด ให้หยอดห่างกัน 5 นาที</t>
  </si>
  <si>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</si>
  <si>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ยาชนิดใดต่อไปนี้ไม่มีข้อห้ามใช้ หรือข้อควรระวังในผู้ป่วยโรคต้อหิน</t>
  </si>
  <si>
    <t>0.1% Diclofenac ED.</t>
  </si>
  <si>
    <t>0.1% Fluorometholone ED</t>
  </si>
  <si>
    <t>0.1% Dexamethasone ED</t>
  </si>
  <si>
    <t>0.5% Atropine ED</t>
  </si>
  <si>
    <t>0.05% Naphazoline ED</t>
  </si>
  <si>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</si>
  <si>
    <t>ข้อ 22 Pharma Plus เล่มม่วง (เฉลยข้อ ก จ)</t>
  </si>
  <si>
    <t>ข้อใดคือเสียของการใช้ dexamethasone eye drops เป็นเวลานาน Zero ↓ Ifname first order kinetic first T90 % = % Te , shelf-life &amp;85</t>
  </si>
  <si>
    <t>Eye irritation</t>
  </si>
  <si>
    <t>Cataract</t>
  </si>
  <si>
    <t>Decrease intraocular pressure</t>
  </si>
  <si>
    <t>Eyelash lengthener</t>
  </si>
  <si>
    <t>Retinitis pigmentosa</t>
  </si>
  <si>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</si>
  <si>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16 (PLE_CC1_2562_Key.md)</t>
  </si>
  <si>
    <t>ในปัจจุบันยาชนิดใกที่ช่วยรักษาอาการของต้อหินได้ครบทุกกลไกของการเกิดโรค</t>
  </si>
  <si>
    <t>Latanoprost</t>
  </si>
  <si>
    <t>Apraclonidine</t>
  </si>
  <si>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</si>
  <si>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75 (Pharmtutor_2024_Set2.md)</t>
  </si>
  <si>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</si>
  <si>
    <t>ยาปลอม</t>
  </si>
  <si>
    <t>ยาเสื่อมคุณภาพ</t>
  </si>
  <si>
    <t>ยาผิดมาตรฐาน</t>
  </si>
  <si>
    <t>ยาเทียม</t>
  </si>
  <si>
    <t>ยาแปรสภาพ ตะลุยโจทย์เภสัชจุฬาฯ สอบผ่าน 100%</t>
  </si>
  <si>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</si>
  <si>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3 (LAW-CU-71.md)</t>
  </si>
  <si>
    <t>Sodium starch glycolate เป็นสารช่วยแตกตัว Case 4: Conjunctivitis</t>
  </si>
  <si>
    <t>Prednisolone acetate 1% eye drops</t>
  </si>
  <si>
    <t>Acetazolamide 250 mg BID</t>
  </si>
  <si>
    <t>Timolol 0.5% eye drops 1 drop BID</t>
  </si>
  <si>
    <t>Latanoprost 0.005% eye drops 1 drop HS</t>
  </si>
  <si>
    <t>Brimonidine 0.2% eye drops 1 drop BID</t>
  </si>
  <si>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</si>
  <si>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</si>
  <si>
    <t>Dorzolamide 2% eye drops 1 drop BID</t>
  </si>
  <si>
    <t>Tobramycin 0.3% eye drops 1 drop QID</t>
  </si>
  <si>
    <t>Chloramphenicol 0.5% eye drops 1 drop QID</t>
  </si>
  <si>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</si>
  <si>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เก็บยาหยอดตาไว้ที่อุณหภูมิห้องปกติ ให้แสงสว่างส่องถึง</t>
  </si>
  <si>
    <t>Artificial tears 1 drop QID</t>
  </si>
  <si>
    <t>Antazoline/Tetrahydrozoline eye drops 1 drop TID</t>
  </si>
  <si>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</si>
  <si>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เมื่อหยอดตาเสร็จแล้ว หลับตาสักครู่ และไม่ควรใช้ยาร่วมกับผู้อื่น</t>
  </si>
  <si>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</si>
  <si>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หากลืมหยอดตา สามารถหยอดพร้อมกัน 2 หยดในครั้งถัดไปได้</t>
  </si>
  <si>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</si>
  <si>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ยาใดจะทำให้อาการตาแดงของผู้หญิงรายนี้หายไปได้ดีที่สุด</t>
  </si>
  <si>
    <t>Antihistamines</t>
  </si>
  <si>
    <t>Antibacterials</t>
  </si>
  <si>
    <t>Antivirals</t>
  </si>
  <si>
    <t>Vasoconstrictors</t>
  </si>
  <si>
    <t>mast cell stabilizers decongestant หรือ oral antihistamine (ref: หนังสือ survival guideline on pharmacotherapy Rx30 care&amp; Rx31 science,Pharmacy, PSU)</t>
  </si>
  <si>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</si>
  <si>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ข้อใดผิดเกี่ยวกับคำแนะนาในการหยอดตา</t>
  </si>
  <si>
    <t>การป้องกันรสขมจากยาหยอดตา ทำได้โดยการกดบริเวณหัวตา</t>
  </si>
  <si>
    <t>ควรใช้ขี้ผึ้งป้ายตา หลัง ยาหยอดตา 5-10 นาที</t>
  </si>
  <si>
    <t>อายุของยาหยอดตา คือ 1 เดือนหลังจากเปิดใช้</t>
  </si>
  <si>
    <t>ยาหยอดตาทุกชนิด ต้องเก็บในตู้เย็น</t>
  </si>
  <si>
    <t>หากสีของยาหยอดตาเปลี่ยนไปทุกกรณี ควรนำไปทิ้ง (ref: http://webnotes.fda.moph.go.th/consumer/csmb/csmb2545.nsf/%E0%B8%AA%E0%B8%B2%E0%B8% A3%E0%B8%B0%E0%B8%84%E0%B8%A7%E0%B8%B2%E0%B8%A1%E0%B8%A3%E0%B8%B 9%E0%B9%89/4FA119FDCBBF8A23C7256CCC0023CD5C?opendocument)</t>
  </si>
  <si>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หากสีของยาหยอดตาเปลี่ยนไปทุกกรณี ควรนำไปทิ้ง (ref: http://webnotes.fda.moph.go.th/consumer/csmb/csmb2545.nsf/%E0%B8%AA%E0%B8%B2%E0%B8% A3%E0%B8%B0%E0%B8%84%E0%B8%A7%E0%B8%B2%E0%B8%A1%E0%B8%A3%E0%B8%B 9%E0%B9%89/4FA119FDCBBF8A23C7256CCC0023CD5C?opendocument)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</si>
  <si>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เชื้อก่อโรคใดต่อไปนี้พบเป็นสาเหตุน้อยที่สุดที่ทำให้เกิดเยื่อบุตาอักเสบ (conjunctivitis)</t>
  </si>
  <si>
    <t>Rhinovirus</t>
  </si>
  <si>
    <t>Streptococcous spp.</t>
  </si>
  <si>
    <t>Staphylococcous spp.</t>
  </si>
  <si>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</si>
  <si>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</si>
  <si>
    <t>ซักประวัติหาสาเหตุที่เกิดขึ้นพร้อมกับจ่ายยาตัวเดิมเพื่อบรรเทาอาการ</t>
  </si>
  <si>
    <t>เปลี่ยนตัวยาที่มีข้อบ่งใช้เดิมแต่เป็นยากลุ่มใหม่เนื่องจากผู้ป่วยยังคงมีอาการเกี่ยวกับดวงตาอยู่</t>
  </si>
  <si>
    <t>ซักประวัติเพิ่มเติมเกี่ยวกับโรคประจำตัว การใช้ยาก่อนหน้า การมองเห็น</t>
  </si>
  <si>
    <t>แนะนำให้ผู้ป่วยสังเกตอาการไปก่อนถ้าไม่ดีขึ้นให้กลับมาพบเภสัชกรอีกครั้งเพื่อหาสาเหตุ</t>
  </si>
  <si>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</si>
  <si>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</si>
  <si>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</si>
  <si>
    <t>จ่ายยา Actifedห</t>
  </si>
  <si>
    <t>จ่ายยา Hydroxyzine</t>
  </si>
  <si>
    <t>จ่ายยา Fexofenadine</t>
  </si>
  <si>
    <t>จ่ายยา Brompheniramine</t>
  </si>
  <si>
    <t>จ่ายยา Chlorpheniramine</t>
  </si>
  <si>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</si>
  <si>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Sodium starch glycolate เป็นสารช่วยแตกตัว เรื่องที่ 4 Conjunctivitis</t>
  </si>
  <si>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</si>
  <si>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</si>
  <si>
    <t>เมื่อหยอดตาเสร็จแล้ว หลับตาสักครู่ และไม่ควรใช้ยาร่วมกับผู้อื่น</t>
  </si>
  <si>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</si>
  <si>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</si>
  <si>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ยาหยอดตาในข้อใดที่สามารถใช้รักษาเชื้อที่ย้อมแกรมพบได้ก่อนหน้านี้</t>
  </si>
  <si>
    <t>Polymyxin B + Neomycin + Gramicidin</t>
  </si>
  <si>
    <t>Antazoline</t>
  </si>
  <si>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</si>
  <si>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</si>
  <si>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หากลืมหยอดตา ให$หยอดทันทีที่นึกได$ หากใกล$เวลาหยอดครั้งถัดไป ให$เพิ่มเปญน 2 เทGา</t>
  </si>
  <si>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</si>
  <si>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ยาหยอดตาที่เปØดใช$แล$ว ควรเก็บไว$ในตู$เย็นจะเก็บได$ 3 เดือน</t>
  </si>
  <si>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</si>
  <si>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Prednisolone eye drop + Naphazoline eye drop</t>
  </si>
  <si>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</si>
  <si>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ยาหยอดตาที่มีสGวนผสมของ Prednisolone เภสัชกรสามารถจGายในร$านยาได$หรือไมG</t>
  </si>
  <si>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</si>
  <si>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29 (PLE_CC1_Key_Rx20_UBU.md)</t>
  </si>
  <si>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</si>
  <si>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</si>
  <si>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Corticosteroid eye drops</t>
  </si>
  <si>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</si>
  <si>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ข้อใดต่อไปนี้ ไม่ใช่ ยาในกลุ่ม ophthalmic vasoconstrictors</t>
  </si>
  <si>
    <t>Antazoline pharmacotherapy Rx30 care&amp; Rx31 science,Pharmacy, PSU)</t>
  </si>
  <si>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</si>
  <si>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</si>
  <si>
    <t>0.015 g</t>
  </si>
  <si>
    <t>0.45 g</t>
  </si>
  <si>
    <t>0.435 g</t>
  </si>
  <si>
    <t>0.465 g</t>
  </si>
  <si>
    <t>0.9 g NaCl จาก gentamicin = 1x50x0.3 = 15 mg = 0.015 g NaCl ใน 50 mL = 50/100x0.9 = 0.45g ต้องเติม NaCl อีก 0.45-0.015 = 0.435g (ref: ชีท Isotonic buffer อ.ศิริรัศมิ์)</t>
  </si>
  <si>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</si>
  <si>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</si>
  <si>
    <t>Cisplatin 50 mg และ vinblastine 6 mg</t>
  </si>
  <si>
    <t>Cisplatin 100 mg และ vinblastine 12 mg</t>
  </si>
  <si>
    <t>Cisplatin 125 mg และ vinblastine 18 mg</t>
  </si>
  <si>
    <t>Cisplatin 150 mg และ vinblastine 24 mg</t>
  </si>
  <si>
    <t>Cisplatin 175 mg และ vinblastine 48 mg</t>
  </si>
  <si>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</si>
  <si>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CINV &amp; Supportive Care</t>
  </si>
  <si>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</si>
  <si>
    <t>ยับยั้งการสร้าง mitotic spindle</t>
  </si>
  <si>
    <t>ยับยั้งเอนไซม์ topoisomerase II</t>
  </si>
  <si>
    <t>แทนที่ลำดับเบสบน DNA หรือ RNA</t>
  </si>
  <si>
    <t>เข้าแทรกบนสาย double strand DNA</t>
  </si>
  <si>
    <t>เป็นอนุมูลอิสระรบกวน DNA</t>
  </si>
  <si>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</si>
  <si>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</si>
  <si>
    <t>ยับยั้ง RNA หรือ DNA</t>
  </si>
  <si>
    <t>ทำลายเอนไซม์ topoisomerase II</t>
  </si>
  <si>
    <t>ยับยั้ง dihydrofolate reductase</t>
  </si>
  <si>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</si>
  <si>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</si>
  <si>
    <t>ให้ metoclopramide แบบ IV ครึ่งชั่วโมงก่อนให้ยา cisplatin</t>
  </si>
  <si>
    <t>ควรฉีด cisplatin แบบ IV push</t>
  </si>
  <si>
    <t>ให้ diphenhydramine แบบ oral ก่อนให้ cisplatin</t>
  </si>
  <si>
    <t>ให้ NSS ก่อนให้ cisplatin</t>
  </si>
  <si>
    <t>ให้ D5W ก่อนให้ cisplatin</t>
  </si>
  <si>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</si>
  <si>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จากโครงสร้างของยา Gemcitabine เป็นอนุพันธ์ของอะไร</t>
  </si>
  <si>
    <t>Acyclonucleoside analog</t>
  </si>
  <si>
    <t>Pyrimidine nucleoside analog</t>
  </si>
  <si>
    <t>Pyrimidine nucleotide analog</t>
  </si>
  <si>
    <t>Purine nucleotide analog</t>
  </si>
  <si>
    <t>Purine nucleoside analog</t>
  </si>
  <si>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</si>
  <si>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จากโครงสร้างของยา 5 ตัวที่ออกฤทธิ์คือ</t>
  </si>
  <si>
    <t>Deoxygemcitabine</t>
  </si>
  <si>
    <t>Gemcitabine monophosphate</t>
  </si>
  <si>
    <t>Gemcitabine diphosphate</t>
  </si>
  <si>
    <t>Gemcitabine triphosphate</t>
  </si>
  <si>
    <t>Gemcitabine tetraphosphate</t>
  </si>
  <si>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</si>
  <si>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 Pharma Plus เล่มม่วง (เฉลยข้อ ง)</t>
  </si>
  <si>
    <t>จากการใช้ยาเคมีบำบัด หากมีความผิดปกติของตับจะ monitor จากค่า lab ใด</t>
  </si>
  <si>
    <t>Serum creatinine</t>
  </si>
  <si>
    <t>Serum albumin</t>
  </si>
  <si>
    <t>Serum bilirubin</t>
  </si>
  <si>
    <t>Transferrin</t>
  </si>
  <si>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</si>
  <si>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7 Pharma Plus เล่มม่วง (เฉลยข้อ ค ง)</t>
  </si>
  <si>
    <t>ยา vincristine ออกฤทธิ์ยับยั้งการเจริญของเซลล์มะเร็งที่ระยะ(phase) ใดของ cell cycle</t>
  </si>
  <si>
    <t>S phase</t>
  </si>
  <si>
    <t>G1 phase</t>
  </si>
  <si>
    <t>G2 phase</t>
  </si>
  <si>
    <t>M phase</t>
  </si>
  <si>
    <t>Go phase</t>
  </si>
  <si>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</si>
  <si>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</si>
  <si>
    <t>20 mg q 24 hr.</t>
  </si>
  <si>
    <t>60 mg q 12 hr.</t>
  </si>
  <si>
    <t>60 mg q 24 hr.</t>
  </si>
  <si>
    <t>80 mg q 12 hr.</t>
  </si>
  <si>
    <t>80 mg q 24 hr.</t>
  </si>
  <si>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</si>
  <si>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Antidote หรือยาต้านพิษของ morphine คือยาใด</t>
  </si>
  <si>
    <t>Mesna 400 mg IV stat</t>
  </si>
  <si>
    <t>Rasburicase 0.2 mg/kg IV</t>
  </si>
  <si>
    <t>Palonosetron 0.25 mg IV stat</t>
  </si>
  <si>
    <t>Ondansetron 8 mg IV stat</t>
  </si>
  <si>
    <t>Aprepitant 125 mg PO stat</t>
  </si>
  <si>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</si>
  <si>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</si>
  <si>
    <t>Alkylation</t>
  </si>
  <si>
    <t>Antimetabolite</t>
  </si>
  <si>
    <t>Antimitotic spindle</t>
  </si>
  <si>
    <t>Anti-dihydrofolate reductase</t>
  </si>
  <si>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</si>
  <si>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</si>
  <si>
    <t>ความวิตกกังวล</t>
  </si>
  <si>
    <t>ประวัติ motion sickness</t>
  </si>
  <si>
    <t>ประวัติดื่ม alcohol</t>
  </si>
  <si>
    <t>ประวัติคลื่นไส้อาเจียนระหว่างตั้งครรภ์</t>
  </si>
  <si>
    <t>ประวัติคลื่นไส้อาเจียนเมื่อได้รับยาเคมีบำบัดครั้งก่อน</t>
  </si>
  <si>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</si>
  <si>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</si>
  <si>
    <t>Neurotoxic</t>
  </si>
  <si>
    <t>Nephrotoxic</t>
  </si>
  <si>
    <t>Ototoxic</t>
  </si>
  <si>
    <t>Cardiotoxic</t>
  </si>
  <si>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</si>
  <si>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</si>
  <si>
    <t>500 cell/mm³</t>
  </si>
  <si>
    <t>750 cell/mm³</t>
  </si>
  <si>
    <t>1000 cell/mm³</t>
  </si>
  <si>
    <t>1250 cell/mm³</t>
  </si>
  <si>
    <t>1500 cell/mm³</t>
  </si>
  <si>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</si>
  <si>
    <t>ผู้ป่วยเป็นมะเร็ง หนัก 40 kg สูง 160 cm ยาที่ได้รับคือ Cyclophosphamide 100 mg/m² day 1-14, Methotrexate 40 mg/m² day 1, 8, Fluorouracil 600 mg/m² day 1, 8
จากการคำนวณต้องใช้ fluorouracil เท่าไหร่</t>
  </si>
  <si>
    <t>600</t>
  </si>
  <si>
    <t>700</t>
  </si>
  <si>
    <t>800</t>
  </si>
  <si>
    <t>900</t>
  </si>
  <si>
    <t>1000</t>
  </si>
  <si>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</si>
  <si>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ข้อ 16 Pharma Plus เล่มม่วง (เฉลยข้อ ค)</t>
  </si>
  <si>
    <t>MTX ออกฤทธิ์อย่างไร</t>
  </si>
  <si>
    <t>Alkylating agent</t>
  </si>
  <si>
    <t>ยับยั้ง enzyme of dihydrofolate reductase</t>
  </si>
  <si>
    <t>ยับยั้ง enzyme of thymidylate synthase</t>
  </si>
  <si>
    <t>Depolarizing of microtubule</t>
  </si>
  <si>
    <t>Antagonist of estrogen receptor</t>
  </si>
  <si>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</si>
  <si>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Cyclophosphamide ออกฤทธิ์ในการเป็น alkylating agent เหมือนกับยาใด</t>
  </si>
  <si>
    <t>Cytarabine</t>
  </si>
  <si>
    <t>Vincristine</t>
  </si>
  <si>
    <t>Cisplatin</t>
  </si>
  <si>
    <t>Paclitaxel</t>
  </si>
  <si>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</si>
  <si>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ข้อใดใช้ในการป้องกันการเกิด stomatitis ในปากและทางเดินอาหารจากการได้รับยา 5-FU</t>
  </si>
  <si>
    <t>Mesna</t>
  </si>
  <si>
    <t>Hyaluronidase</t>
  </si>
  <si>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</si>
  <si>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</si>
  <si>
    <t>175</t>
  </si>
  <si>
    <t>225</t>
  </si>
  <si>
    <t>250</t>
  </si>
  <si>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</si>
  <si>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กลไกการออกฤทธิ์ของยา cisplatin คือ</t>
  </si>
  <si>
    <t>Topoisomerase II inhibitor</t>
  </si>
  <si>
    <t>Intercalating agent</t>
  </si>
  <si>
    <t>Inhibitor of mitosis</t>
  </si>
  <si>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</si>
  <si>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ยา cisplatin เป็นยาที่มีผลพิษต่อไต (nephrotoxicity) การป้องกันสามารถทำได้หลายประการต่อไปนี้ ยกเว้น</t>
  </si>
  <si>
    <t>การให้สารน้ำปริมาตรมากก่อนและหลังให้ยา</t>
  </si>
  <si>
    <t>ให้สารละลายปริมาตรมากพร้อม magnesium</t>
  </si>
  <si>
    <t>การให้ osmotic diuretic เช่น mannitol</t>
  </si>
  <si>
    <t>การเตรียม cisplatin ด้วยสารละลาย sodium chloride</t>
  </si>
  <si>
    <t>ให้สารละลายปริมาตรมากร่วมกับ sodium</t>
  </si>
  <si>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</si>
  <si>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ข้อ 23 Pharma Plus เล่มม่วง (เฉลยข้อ ค จ)</t>
  </si>
  <si>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</si>
  <si>
    <t>ให้ยากลุ่ม weak opioid ร่วมกับ fentanyl transdermal patch</t>
  </si>
  <si>
    <t>เริ่มด้วย aspirin หรือ piroxicam หากไม่ดีขึ้นจึงใช้ tramadol หรือ morphine</t>
  </si>
  <si>
    <t>ให้ fentanyl ร่วมกับยากลุ่ม COX2-Inhibitor เนื่องจาก vincristine มีผลข้างเคียงกับระบบทางเดินอาหาร</t>
  </si>
  <si>
    <t>ให้ได้เฉพาะยากลุ่ม NSAIDs เนื่องจากผลข้างเคียงของ vincristine มีฤทธิ์กดการหายใจ</t>
  </si>
  <si>
    <t>ให้ morphine เพราะ vincristine จะทำให้เกิดอาการปวดอย่างรุนแรง</t>
  </si>
  <si>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</si>
  <si>
    <t>ข้อ 24 Pharma Plus เล่มม่วง (เฉลยข้อ ข)</t>
  </si>
  <si>
    <t>ผู้ป่วยมะเร็งกระดูกจะมีผลข้างเคียงเกิดขึ้นทุกครั้งจากการได้รับยา morphine เพื่อระงับอาการปวดดังข้อต่อไปนี้ ยกเว้นข้อใด</t>
  </si>
  <si>
    <t>ง่วงซึม</t>
  </si>
  <si>
    <t>กดการหายใจ</t>
  </si>
  <si>
    <t>สับสน มึนงง</t>
  </si>
  <si>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</si>
  <si>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25 Pharma Plus เล่มม่วง (เฉลยข้อ )</t>
  </si>
  <si>
    <t>ผู้ป่วยมะเร็งลำไส้ใหญ่มีอาการปวดจากมะเร็งระดับ 6 ควรเลือกยาใดเป็นอันดับแรกเพื่อบรรเทาอาการปวดให้แก่ผู้ป่วย</t>
  </si>
  <si>
    <t>Ketamine</t>
  </si>
  <si>
    <t>Fentanyl transdermal patch</t>
  </si>
  <si>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</si>
  <si>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26 Pharma Plus เล่มม่วง (เฉลยข้อ จ)</t>
  </si>
  <si>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</si>
  <si>
    <t>อาการปวด</t>
  </si>
  <si>
    <t>เยื่อบุทางเดินอาหารอักเสบ</t>
  </si>
  <si>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</si>
  <si>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ผู้ป่วยมะเร็งระดับมีความจำเป็นต้องได้รับยา methotrexate ในขนาดที่สูงควรได้รับยาใดเพิ่ม
การจัดการภาวะความเป็นพิษจาก High-dose Methotrexate</t>
  </si>
  <si>
    <t>Dexamethasone เดี่ยว ๆ</t>
  </si>
  <si>
    <t>ยากลุ่ม opioid</t>
  </si>
  <si>
    <t>ไม่ต้องรับยาอะไร เพียงแต่ให้ผู้ป่วยอมน้ำแข็งระหว่างการให้ยาให้ถูกวิธี</t>
  </si>
  <si>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</si>
  <si>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</si>
  <si>
    <t>ในการให้ยาเคมีบำบัดครั้งต่อไป ให้ผู้ป่วยอมน้ำแข็งก่อนให้ยา 30 นาทีและอมต่อให้ยาอีก 30 นาที</t>
  </si>
  <si>
    <t>Dimenhydrinate + lidocaine + sucralfate แล้วตามด้วยยากลุ่ม NSAIDs</t>
  </si>
  <si>
    <t>Diphenhydramine + lidocaine + sucralfate แล้วตามด้วยยากลุ่ม opioids</t>
  </si>
  <si>
    <t>Diphenhydramine + lidocaine + antacid</t>
  </si>
  <si>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</si>
  <si>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30 Pharma Plus เล่มม่วง (เฉลยข้อ ก ง)</t>
  </si>
  <si>
    <t>ข้อใดเป็นยาต้านการอาเจียนที่ดีที่สุดในผู้ป่วยที่ได้รับยาเคมีบำบัด
ยาต้านการอาเจียนที่มีประสิทธิภาพสูงสุดสำหรับ CINV</t>
  </si>
  <si>
    <t>ข้อ ก, ข, และ ค ถูก</t>
  </si>
  <si>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</si>
  <si>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</si>
  <si>
    <t>หากผู้ป่วยมีตุ่มใส และมีอาการเจ็บ แสบร้อน ร่วมด้วย ให้ผู้ป่วยบ้วนปากด้วย stomatitis cocktail ก่อนรับประทานอาหาร 5-15 นาที</t>
  </si>
  <si>
    <t>หากมีการติดเชื้อร่วมด้วยให้ผู้ป่วยกินยาต้านเชื้อรา</t>
  </si>
  <si>
    <t>ในการให้ยาเคมีบำบัดครั้งต่อไป ให้ผู้ป่วยอมน้ำแข็งก่อนให้ยา 30 นาที และหลังให้ยา 30 นาที</t>
  </si>
  <si>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</si>
  <si>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32 Pharma Plus เล่มม่วง (เฉลยข้อ ข ค)</t>
  </si>
  <si>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</si>
  <si>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</si>
  <si>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</si>
  <si>
    <t>Nephrotoxicity</t>
  </si>
  <si>
    <t>Neurotoxicity</t>
  </si>
  <si>
    <t>Pulmonary toxicity</t>
  </si>
  <si>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</si>
  <si>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กลไกการออกฤทธิ์ของยา cisplatin คืออะไร</t>
  </si>
  <si>
    <t>Topoisomerase inhibitor</t>
  </si>
  <si>
    <t>Produce free radical</t>
  </si>
  <si>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</si>
  <si>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ยาเคมีชนิดใดไม่ได้สกัดมาจากธรรมชาติ</t>
  </si>
  <si>
    <t>Doxorubicin</t>
  </si>
  <si>
    <t>Oxaliplatin</t>
  </si>
  <si>
    <t>Hydroxyurea</t>
  </si>
  <si>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</si>
  <si>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กลไกการออกฤทธิ์ของยา paclitaxel คืออะไร</t>
  </si>
  <si>
    <t>Mitotic phase inhibitor</t>
  </si>
  <si>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</si>
  <si>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39 Pharma Plus เล่มม่วง (เฉลยข้อ ง)</t>
  </si>
  <si>
    <t>ผู้ป่วยมะเร็งที่มีอาการปวดรุนแรง และได้รับยาแก้ปวด opioids ปริมาณสูง อาจทำให้เกิดผลข้างเคียงใด</t>
  </si>
  <si>
    <t>Diarrhea, Convulsion</t>
  </si>
  <si>
    <t>Mydriasis, Hypoventilation</t>
  </si>
  <si>
    <t>Hyperthermia</t>
  </si>
  <si>
    <t>Coma, Miosis</t>
  </si>
  <si>
    <t>Hyperventilation</t>
  </si>
  <si>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</si>
  <si>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การใช้ leucovorin ร่วมเมื่อใช้ยา methotrexate ขนาดสูง ในการรักษามะเร็งบางชนิด เพื่ออะไร</t>
  </si>
  <si>
    <t>ช่วยเพิ่ม MTX เข้าสู่เซลล์มะเร็ง</t>
  </si>
  <si>
    <t>ช่วยเร่งการขับ MTX ออกทางปัสสาวะ</t>
  </si>
  <si>
    <t>ช่วยเร่งการแปรูปของ MTX ที่ตับ</t>
  </si>
  <si>
    <t>ช่วยลดความเป็นพิษของ MTX ต่อเซลล์ปกติ</t>
  </si>
  <si>
    <t>ช่วยเพิ่มความเป็นพิษของ MTX ต่อเซลล์มะเร็ง</t>
  </si>
  <si>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</si>
  <si>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ยาใดต่อไปนี้เกี่ยวข้องกับ nephrotoxicity</t>
  </si>
  <si>
    <t>Etoposide</t>
  </si>
  <si>
    <t>Vinorelbine</t>
  </si>
  <si>
    <t>Docetaxel</t>
  </si>
  <si>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</si>
  <si>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คู่ยาใดที่อาจเกิด drug interaction จนทำให้ระดับยาในเลือดเพิ่มสูงขึ้นจนเป็นอันตรายแก่ผู้ป่วย</t>
  </si>
  <si>
    <t>Tamoxifen - warfarin</t>
  </si>
  <si>
    <t>Cisplatin - cimetidine</t>
  </si>
  <si>
    <t>Methotrexate - phenobarbitone</t>
  </si>
  <si>
    <t>Doxorubicin - tetracycline</t>
  </si>
  <si>
    <t>Mercaptopurine - allopurinol</t>
  </si>
  <si>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</si>
  <si>
    <t>ยาเคมีชนิดใดที่ใช้เป็น immunosuppressive agent ได้ด้วย</t>
  </si>
  <si>
    <t>5-Fluorouracil</t>
  </si>
  <si>
    <t>Irinotecan</t>
  </si>
  <si>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</si>
  <si>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</si>
  <si>
    <t>ค่า serum creatinine</t>
  </si>
  <si>
    <t>ค่า CBC (complete blood count)</t>
  </si>
  <si>
    <t>ค่า ejection fraction ของหัวใจ</t>
  </si>
  <si>
    <t>ค่า electrolyte</t>
  </si>
  <si>
    <t>ผลวิเคราะห์ทางจุลชีววิทยา (blood cultures)</t>
  </si>
  <si>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</si>
  <si>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45 Pharma Plus เล่มม่วง (เฉลยข้อ ก ข)</t>
  </si>
  <si>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</si>
  <si>
    <t>การผ่าตัดแบบ modified radical mastectomy เพื่อกำจัดมะเร็ง</t>
  </si>
  <si>
    <t>อาการข้างเคียงของ cyclophosphamide</t>
  </si>
  <si>
    <t>อาการข้างเคียงของ cyclophosphamide และ doxorubicin</t>
  </si>
  <si>
    <t>อาการข้างเคียงของ doxorubicin</t>
  </si>
  <si>
    <t>อาการแทรกซ้อนจากการผ่าตัด ร่วมกับการให้ยาเคมีบำบัด</t>
  </si>
  <si>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</si>
  <si>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46 Pharma Plus เล่มม่วง (เฉลยข้อ ง)</t>
  </si>
  <si>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</si>
  <si>
    <t>การกดการทำงานขอไขกระดูก</t>
  </si>
  <si>
    <t>ชาตามปลายประสาท</t>
  </si>
  <si>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</si>
  <si>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47 Pharma Plus เล่มม่วง (เฉลยข้อ ข ค)</t>
  </si>
  <si>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</si>
  <si>
    <t>Estrogen receptor เช่น tamoxifen</t>
  </si>
  <si>
    <t>Methotrexate แบบรับประทานเพื่อควบคุมโรค</t>
  </si>
  <si>
    <t>การฉายรังสีบริเวณที่ได้รับการผ่าตัด</t>
  </si>
  <si>
    <t>การรับประทานยาคุมกำเนิดขนาดสูง</t>
  </si>
  <si>
    <t>การเพิ่มการให้ยาเคมีบำัดจาก 4 เดือน เป็น 6 เดือน</t>
  </si>
  <si>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</si>
  <si>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</si>
  <si>
    <t>รักษาให้หายขาด</t>
  </si>
  <si>
    <t>ยืดอายุผู้ป่วย</t>
  </si>
  <si>
    <t>รักษาผู้ป่วยแบบประคับประคอง</t>
  </si>
  <si>
    <t>เพื่อลดการกลับซ้ำของโรค</t>
  </si>
  <si>
    <t>ทำให้ผู้ป่วยมีระยะปลอดโรคที่นานขึ้น</t>
  </si>
  <si>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</si>
  <si>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49 Pharma Plus เล่มม่วง (เฉลยข้อ ค)</t>
  </si>
  <si>
    <t>การตรวจร่างกายเบื้องต้นของมะเร็งเต้านมต้องตรวจอะไรไร</t>
  </si>
  <si>
    <t>Fecal blood occult test</t>
  </si>
  <si>
    <t>CT scan</t>
  </si>
  <si>
    <t>Mammography</t>
  </si>
  <si>
    <t>Pap smear</t>
  </si>
  <si>
    <t>Tumor biopsy</t>
  </si>
  <si>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</si>
  <si>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เมื่อผู้ป่วยทราบแล้วว่าเป็นมะเร็งจึงไปหาหมอ ซึ่งได้มีการจ่ายยา cyclophosphamide, paclitaxel, tamoxifen อยากทราบว่า ยา tamoxifen เป็นยาในกลุ่มใด</t>
  </si>
  <si>
    <t>Antiestrogen</t>
  </si>
  <si>
    <t>Antitumor antibiotic</t>
  </si>
  <si>
    <t>Plant alkaloid</t>
  </si>
  <si>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</si>
  <si>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</si>
  <si>
    <t>Apoptosis</t>
  </si>
  <si>
    <t>Differentiation</t>
  </si>
  <si>
    <t>Invasiveness</t>
  </si>
  <si>
    <t>Metastasis</t>
  </si>
  <si>
    <t>Uncontrolled proliferation</t>
  </si>
  <si>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</si>
  <si>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Fluorouracil จัดเป็นยารักษามะเร็งในกลุ่มใด</t>
  </si>
  <si>
    <t>กลุ่ม alkylating agent ประเภท nitrogen mustard</t>
  </si>
  <si>
    <t>กลุ่ม alkylating agent ประเภท triazene</t>
  </si>
  <si>
    <t>กลุ่ม antimetabolite ประเภท purine analogs</t>
  </si>
  <si>
    <t>กลุ่ม antimetabolite ประเภท pyrimidine analogs</t>
  </si>
  <si>
    <t>กลุ่ม antimetabolite ประเภท folic acid analogs</t>
  </si>
  <si>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</si>
  <si>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</si>
  <si>
    <t>Dimenhydrinate</t>
  </si>
  <si>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</si>
  <si>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ผู้ป่วยมีอาการปวดจากมะเร็งระดับ mild to moderate ควรเลือกใช้ยาใดเป็นอันดับแรกในการบรรเทาอาการ</t>
  </si>
  <si>
    <t>Amphetamine</t>
  </si>
  <si>
    <t>Morphine</t>
  </si>
  <si>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</si>
  <si>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</si>
  <si>
    <t>ผู้ชาย</t>
  </si>
  <si>
    <t>มีคนในครอบครัวเป็นโรคมะเร็งปอด</t>
  </si>
  <si>
    <t>Asbestos</t>
  </si>
  <si>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</si>
  <si>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56 Pharma Plus เล่มม่วง (เฉลยข้อ ค)</t>
  </si>
  <si>
    <t>ข้อใดคือกลไกของยา cisplatin</t>
  </si>
  <si>
    <t>ยับยั้ง vascular endothelial growth factor</t>
  </si>
  <si>
    <t>ยับยั้งเอนไซม์ dihydrofolate reductase</t>
  </si>
  <si>
    <t>ทำให้เกิด DNA crosslink</t>
  </si>
  <si>
    <t>เพิ่มการเข้าจับที่ HER-2 receptor</t>
  </si>
  <si>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</si>
  <si>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Vincristine ได้มาจากสมุนไพรอะไร</t>
  </si>
  <si>
    <t>ดองดึงหัวขวาน</t>
  </si>
  <si>
    <t>รำเพย</t>
  </si>
  <si>
    <t>ระย่อมน้อย</t>
  </si>
  <si>
    <t>แพงพวยฝรั่ง</t>
  </si>
  <si>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</si>
  <si>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ข้อใดถูกต้องเกี่ยวกับการเกิด extravasation ในยาสูตร cisplatin + paclitaxel</t>
  </si>
  <si>
    <t>ประคบร้อนอย่างเดียว สี่ครั้งต่อวัน เป็นเวลาสามวัน</t>
  </si>
  <si>
    <t>รัดแขนเหนือบริเวณที่ฉีดยา</t>
  </si>
  <si>
    <t>ให้สารละลาย 0.9% NSS เข้าไปในหลอดเลือด</t>
  </si>
  <si>
    <t>ถ้าปวดมากให้ใช้ DMSO นาน 7 วัน</t>
  </si>
  <si>
    <t>ให้ antidote ที่จำเพาะคือ Hyaluronidase</t>
  </si>
  <si>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</si>
  <si>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ผลข้างเคียงที่พบน้อยของยา paclitaxel คือข้อใด</t>
  </si>
  <si>
    <t>Alopecia</t>
  </si>
  <si>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</si>
  <si>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</si>
  <si>
    <t>0.67</t>
  </si>
  <si>
    <t>1.3</t>
  </si>
  <si>
    <t>1.5</t>
  </si>
  <si>
    <t>Dexamethasone 12 mg IV stat</t>
  </si>
  <si>
    <t>2.4</t>
  </si>
  <si>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</si>
  <si>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ข้อ 62 Pharma Plus เล่มม่วง (เฉลยข้อ ค)</t>
  </si>
  <si>
    <t>ข้อใดคือขนาดยาของ cyclophosphamide ที่ถูกต้องในผู้ป่วยรายนี้</t>
  </si>
  <si>
    <t>130 mg</t>
  </si>
  <si>
    <t>150 mg</t>
  </si>
  <si>
    <t>200 mg</t>
  </si>
  <si>
    <t>225 mg</t>
  </si>
  <si>
    <t>450 mg</t>
  </si>
  <si>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</si>
  <si>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63 Pharma Plus เล่มม่วง (เฉลยข้อ ข)</t>
  </si>
  <si>
    <t>ข้อใดคือผลข้างเคียงของยา cyclophosphamide ที่สำคัญ</t>
  </si>
  <si>
    <t>Hemorrhagic cystitis</t>
  </si>
  <si>
    <t>Cardiac conduction ผิดปกติ</t>
  </si>
  <si>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</si>
  <si>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64 Pharma Plus เล่มม่วง (เฉลยข้อ ก)</t>
  </si>
  <si>
    <t>ยาในข้อใด มีกลไกการออกฤทธิ์เหมือนยา cyclophosphamide</t>
  </si>
  <si>
    <t>5-FU</t>
  </si>
  <si>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</si>
  <si>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ข้อใดคือผลข้างเคียงของยา methotrexate</t>
  </si>
  <si>
    <t>Stomatitis</t>
  </si>
  <si>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</si>
  <si>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ข้อ 66 Pharma Plus เล่มม่วง (เฉลยข้อ ข ค จ)</t>
  </si>
  <si>
    <t>ยาในข้อใดเสริมการออกฤทธิ์ cytotoxic ของยา 5-FU</t>
  </si>
  <si>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</si>
  <si>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ข้อใดเป็นกลไกของ Anti-PD1 สำหรับรักษา NSCLC</t>
  </si>
  <si>
    <t>จับกับ PD-L1 บน cell มะเร็ง</t>
  </si>
  <si>
    <t>จับกับ PD-1 บน T cell</t>
  </si>
  <si>
    <t>กระตุ้นให้เกิดการสร้าง antigen</t>
  </si>
  <si>
    <t>จับกับ CTLA-4</t>
  </si>
  <si>
    <t>จับกับ tyrosine kinase</t>
  </si>
  <si>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</si>
  <si>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Oncologic</t>
  </si>
  <si>
    <t>Mock PLE-CC 1 ข้อ 76</t>
  </si>
  <si>
    <t>ลดความเสี่ยงมะเร็งเต้านม</t>
  </si>
  <si>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</si>
  <si>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Epinehrine ผู้ป่วยได้รับยาchemotherapy สูตรac ควรได้รับยาต้านอาเจียนอะไรบ้าง ตัวเลือก</t>
  </si>
  <si>
    <t>Filgrastim (G-CSF) 300 mcg SC OD</t>
  </si>
  <si>
    <t>Metoclopramide 10 mg TID</t>
  </si>
  <si>
    <t>Lorazepam 1 mg PO PRN</t>
  </si>
  <si>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</si>
  <si>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Cancer…ได้รับสูตรยาที่มีDoxorubicin ประเมินอะไรก่อนให้ยา… ตัวเลือก</t>
  </si>
  <si>
    <t>LVEF</t>
  </si>
  <si>
    <t>Morphine 10 mg PO Q4H PRN</t>
  </si>
  <si>
    <t>Calcium folinate (Leucovorin) 50 mg IV</t>
  </si>
  <si>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</si>
  <si>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PLE-CC1 ปี 2566 Day 2 ข้อ 12</t>
  </si>
  <si>
    <t>ผู้ป่วยมะเร็งเต้านมต้องกิน tamoxifen นานเท่าใด</t>
  </si>
  <si>
    <t>30 วัน</t>
  </si>
  <si>
    <t>5 ปี</t>
  </si>
  <si>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</si>
  <si>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Gene ที่จำเพาะต่อมะเร็งเต้านม</t>
  </si>
  <si>
    <t>KRAS</t>
  </si>
  <si>
    <t>BRCA-2</t>
  </si>
  <si>
    <t>P53</t>
  </si>
  <si>
    <t>EGFR</t>
  </si>
  <si>
    <t>HER-2</t>
  </si>
  <si>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</si>
  <si>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 79 (Pharmtutor_2024_Set2.md)</t>
  </si>
  <si>
    <t>Cisplatin 50 mg และ Vinblastin 6 mg</t>
  </si>
  <si>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</si>
  <si>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Cisplatin 100 mg และ Vinblastin 12 mg</t>
  </si>
  <si>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</si>
  <si>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Cisplatin 125 mg และ Vinblastin 18 mg</t>
  </si>
  <si>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</si>
  <si>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Cisplatin 150 mg และ Vinblastin 24 mg</t>
  </si>
  <si>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</si>
  <si>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Cisplatin 175 mg และ Vinblastin 48 mg</t>
  </si>
  <si>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</si>
  <si>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อาการอาเจียนที่เกิดขึ้นจาก Cisplatin ป้องกันได้ด้วยวิธีใด</t>
  </si>
  <si>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</si>
  <si>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ควรฉีด Cisplatin แบบ IV push</t>
  </si>
  <si>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</si>
  <si>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ให้ NSS ก่อนให้ Cisplatin</t>
  </si>
  <si>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</si>
  <si>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ให้ D5W ก่อนให้ Cisplatin หลังจากนั้นแพทย์ได้ทำการเปลี่ยนยา Vinblastine เป็น Gemcitabine</t>
  </si>
  <si>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</si>
  <si>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ผู้ป่วยที่ได้รับยา Methotrexate ควรได้รับการติดตามค่าใดต่อไปนี้</t>
  </si>
  <si>
    <t>complete blood count, AST, ALT, albumin</t>
  </si>
  <si>
    <t>complete blood count, creatinine, glucose</t>
  </si>
  <si>
    <t>complete blood count, urinalysis</t>
  </si>
  <si>
    <t>ตรวจความดันโลหิตทุก6เดือน</t>
  </si>
  <si>
    <t>ตรวจตาทุก 6 เดือน</t>
  </si>
  <si>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</si>
  <si>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</si>
  <si>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</si>
  <si>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Cisplatin inhibits DNA synthesis by the formation of DNA cross-links; denatures the double helix; covalently binds to DNA bases and disrupts DNA function;</t>
  </si>
  <si>
    <t>Cisplatin จะจับกับ Nitrogen ในสำยเบสที่ตำแหน่งใด</t>
  </si>
  <si>
    <t>ข้อ 104 (PLE_CC1_Key_Rx20_UBU.md)</t>
  </si>
  <si>
    <t>Doxorubicin ออกฤทธิ์โดยทำลาย DNA ของเชื้อ</t>
  </si>
  <si>
    <t>Doxorubicin ออกฤทธิ์เป็น intercalating ต่อสาย DNA</t>
  </si>
  <si>
    <t>ยามะเร็งเตรียมในห้องที่มีแรงดันเป็นแบบ positive pressure</t>
  </si>
  <si>
    <t>เพราะ ยามะเร็งเตรียมในห้องที่มีแรงดันเป็นแบบneagatiive pressure</t>
  </si>
  <si>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</si>
  <si>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Cumulative dose ของ Doxorubicin ในผู้ป่วยรายนี้ คือเท่าไร</t>
  </si>
  <si>
    <t>60 mg/m 2</t>
  </si>
  <si>
    <t>180 mg/m 2</t>
  </si>
  <si>
    <t>240 mg/m 2</t>
  </si>
  <si>
    <t>300 mg/m 2</t>
  </si>
  <si>
    <t>480 mg/m 2 cycle 4 x 60 = 240 mg/m 2</t>
  </si>
  <si>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</si>
  <si>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กลไกการเกิด cardiotoxicity ของยา doxorubicin คือข้อใด</t>
  </si>
  <si>
    <t>Free radical generation</t>
  </si>
  <si>
    <t>Topoisomerase inhibitors</t>
  </si>
  <si>
    <t>Intercalated DNA</t>
  </si>
  <si>
    <t>Inhibit microtubule assembly</t>
  </si>
  <si>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</si>
  <si>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</si>
  <si>
    <t>ข้อใดคือกลไกการออกฤทธิ์ของยา cyclophosphamide</t>
  </si>
  <si>
    <t>Antimitotic</t>
  </si>
  <si>
    <t>Inhibit topoisomerase</t>
  </si>
  <si>
    <t>Inhibit DNA polymerase</t>
  </si>
  <si>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</si>
  <si>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107 (PLE_CC1_2562_Key.md)</t>
  </si>
  <si>
    <t>ข้อใดคือยากลุ่ม anti-microtubule</t>
  </si>
  <si>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</si>
  <si>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54 (PLE_CC1_2559.md)</t>
  </si>
  <si>
    <t>ข้อใดคืออาการไม่พึงประสงค์ที่พบบ่อยจาก cyclophosphamide</t>
  </si>
  <si>
    <t>Mucositis</t>
  </si>
  <si>
    <t>Hand foot syndrome</t>
  </si>
  <si>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</si>
  <si>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63 (PLE_CC1_2558_Key.md)</t>
  </si>
  <si>
    <t>Cyclophosphamide ออกฤทธิ์อย่างไร</t>
  </si>
  <si>
    <t>Inhibit depolymerization of mitotic spindle</t>
  </si>
  <si>
    <t>Intercalation</t>
  </si>
  <si>
    <t>Alkylated DNA</t>
  </si>
  <si>
    <t>Inhibit polymerization of microtubule</t>
  </si>
  <si>
    <t>Inhibit topoisomerase IV</t>
  </si>
  <si>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</si>
  <si>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</si>
  <si>
    <t>Visual change</t>
  </si>
  <si>
    <t>LFT</t>
  </si>
  <si>
    <t>eGFR</t>
  </si>
  <si>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</si>
  <si>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80 (Pharmtutor_2024_Set1.md)</t>
  </si>
  <si>
    <t>ยาในข้อใดต่อไปนี้สามารถช่วยลดอาการข้างเคียงที่เป็นพิษต่อหัวใจ จากยา Doxorubicin</t>
  </si>
  <si>
    <t>DMSO</t>
  </si>
  <si>
    <t>Dexrazoxane</t>
  </si>
  <si>
    <t>Dextromethorphan</t>
  </si>
  <si>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</si>
  <si>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81 (Pharmtutor_2024_Set1.md)</t>
  </si>
  <si>
    <t>กลไกใดของยา Doxorubicin ทำให้เกิดอาการข้างเคียงที่เป็นพิษต่อหัวใจ</t>
  </si>
  <si>
    <t>Free radical formation</t>
  </si>
  <si>
    <t>Inhibit tubulin assembly</t>
  </si>
  <si>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</si>
  <si>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82 (Pharmtutor_2024_Set1.md)</t>
  </si>
  <si>
    <t>ยาเคมีบำบัตรสูตร AC (Doxorubicin,Cyclophosphamide) ควรmonitorสิ่งใด</t>
  </si>
  <si>
    <t>SCr</t>
  </si>
  <si>
    <t>AST</t>
  </si>
  <si>
    <t>Lipo-A</t>
  </si>
  <si>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</si>
  <si>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78 (Pharmtutor_2024_Set2.md)</t>
  </si>
  <si>
    <t>เมื่อผู้ป่วยได้รับยาสูตรAC (Doxorubicin/Cyclophosphamide) ควรได้รับยาใดในการเเก้อาการคลื่นไว้อาเจียน</t>
  </si>
  <si>
    <t>Olanzapine + Dexamethasone</t>
  </si>
  <si>
    <t>Olanzapine + Metoclopramide</t>
  </si>
  <si>
    <t>Aprepitant + Ondansetron</t>
  </si>
  <si>
    <t>Aprepitant + Metoclopramide + Lorazepam</t>
  </si>
  <si>
    <t>Aprepitant + Ondansetron + Dexamethasone + Olanzapine</t>
  </si>
  <si>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</si>
  <si>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80 (Pharmtutor_2024_Set2.md)</t>
  </si>
  <si>
    <t>กินนมเยอะๆ เพื่อปรับสมดุลกรดเบสในร่างกาย --------------------------------------------------------------------------------------------------------------------------------- สถานการณ์ที่ 7 : มะเร็งเม็ดเลือดขาว คนไข้ได้ยา Doxorubicin Vincristine Cyclophosphamide Prednisolone Ondancetron</t>
  </si>
  <si>
    <t>ยาใดต้องให้กินน ้ามากๆ ตอบ Cyclophosphamide</t>
  </si>
  <si>
    <t>ยาใดทำให้เจ็บปาก เป็นแผลในปาก แต่ไม่มีการติดเชื้อ</t>
  </si>
  <si>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</si>
  <si>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ข้อ 3 (PLE_CC1_2556.md)</t>
  </si>
  <si>
    <t>ต้องใช้ยา Cyclophosphamide กับผู้ป่วยวันละเท่าไหร่ เมื่อคิดพื้นที่ผิวตามสูตร</t>
  </si>
  <si>
    <t>728 mg/day</t>
  </si>
  <si>
    <t>748 mg/day</t>
  </si>
  <si>
    <t>768 mg/day</t>
  </si>
  <si>
    <t>788 mg/day</t>
  </si>
  <si>
    <t>798 mg/day สูตร body surface area (BSA) = ℎ𝑒𝑖𝑔ℎ𝑡(𝑐𝑚)ข𝑤𝑒𝑖𝑔ℎ𝑡(𝑘𝑔) = 160ข40 3600 =</t>
  </si>
  <si>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</si>
  <si>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ข้อใดออกฤทธิ์เหมือน Cyclophosphamide</t>
  </si>
  <si>
    <t>Ifosfamide</t>
  </si>
  <si>
    <t>Navelbine mustard, cyclophosphamide, ifosfamide, cisplatin และ dacarbazine</t>
  </si>
  <si>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</si>
  <si>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</si>
  <si>
    <t>400 ml.</t>
  </si>
  <si>
    <t>420 ml.</t>
  </si>
  <si>
    <t>440 ml.</t>
  </si>
  <si>
    <t>460 ml.</t>
  </si>
  <si>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</si>
  <si>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</si>
  <si>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เกี่ยวกับอาการไมGพึงประสงค_จากยา cyclophosphamide ข้อใดไมGถูกต$อง</t>
  </si>
  <si>
    <t>ทำให$เกิดภาวะ cystitis</t>
  </si>
  <si>
    <t>เปญน dose-related toxicity</t>
  </si>
  <si>
    <t>สารที่ออกฤทธิ์ทำให$เกิดพิษคือ acrolein</t>
  </si>
  <si>
    <t>เมื่อเกิด extravasation ควรได$รับ hyaluronidase เปญน antidote</t>
  </si>
  <si>
    <t>ใช$ mesna เปญน uroprotective</t>
  </si>
  <si>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</si>
  <si>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ยาในข้อใดมีประโยชน_สำหรับ anticipatory nausea and vomiting</t>
  </si>
  <si>
    <t>Aprepitant</t>
  </si>
  <si>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</si>
  <si>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เภสัชกรจะแนะนำผลิตภัณฑ์ใดเพื่อรักษา Mild acne</t>
  </si>
  <si>
    <t>สบู่มังคุด</t>
  </si>
  <si>
    <t>เจลพญายอ</t>
  </si>
  <si>
    <t>ครีมว่านหางจระเข้</t>
  </si>
  <si>
    <t>มาสก์ดึงผิวใบบัวบก</t>
  </si>
  <si>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</si>
  <si>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</si>
  <si>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</si>
  <si>
    <t>Acute kidney injury</t>
  </si>
  <si>
    <t>Renal insufficiency</t>
  </si>
  <si>
    <t>Chronic kidney disease</t>
  </si>
  <si>
    <t>End-stage renal failure</t>
  </si>
  <si>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</si>
  <si>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Chronic kidney diseases</t>
  </si>
  <si>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</si>
  <si>
    <t>Potassium chloride</t>
  </si>
  <si>
    <t>Calcium chloride</t>
  </si>
  <si>
    <t>Calcium phosphate</t>
  </si>
  <si>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</si>
  <si>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</si>
  <si>
    <t>Amiloride</t>
  </si>
  <si>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</si>
  <si>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</si>
  <si>
    <t>ลดอาการบวมคั่งน้ำ</t>
  </si>
  <si>
    <t>ป้องกัน renal shut down</t>
  </si>
  <si>
    <t>ออกฤทธิ์ได้แม้ผู้ป่วยที่ไตบกพร่องในการทำงานอย่างรุนแรง</t>
  </si>
  <si>
    <t>ไม่มีผลรบกวนสมดุลกรด-ด่างในร่างกาย</t>
  </si>
  <si>
    <t>ออกฤทธิ์เร็วและแรง</t>
  </si>
  <si>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</si>
  <si>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จงบอกข้อบ่งใช้ของ sodamint® (sodium bicarbonate) ในผู้ป่วยรายนี้</t>
  </si>
  <si>
    <t>Alkalinize urine</t>
  </si>
  <si>
    <t>Phosphate binder</t>
  </si>
  <si>
    <t>Increase absorption of folic acid</t>
  </si>
  <si>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</si>
  <si>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Fluid &amp; Electrolyte</t>
  </si>
  <si>
    <t>ในกรณีที่ห้องยาไม่มี CaCO₃ ยาใดต่อไปนี้ที่ไม่สามารถใช้ทดแทน CaCO₃ ในผู้ป่วยรายนี้ได้</t>
  </si>
  <si>
    <t>Lanthanum carbonate</t>
  </si>
  <si>
    <t>Al(OH)₃</t>
  </si>
  <si>
    <t>Mg(OH)₂</t>
  </si>
  <si>
    <t>Calcium lactate</t>
  </si>
  <si>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</si>
  <si>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</si>
  <si>
    <t>Eprex ใช้กระตุ้นสร้าง RBC</t>
  </si>
  <si>
    <t>Eprex ผลิตด้วยเทคนิค recombination technology</t>
  </si>
  <si>
    <t>Eprex ต้องเก็บไว้ที่อุณหภูมิ 2-8°C</t>
  </si>
  <si>
    <t>Eprex ใช้ฉีดโดยวิธี IV push เท่านั้น</t>
  </si>
  <si>
    <t>Eprex สามารถทำให้เกิดความดันโลหิตสูงได้</t>
  </si>
  <si>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</si>
  <si>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คำแนะนำใดที่ไม่เหมาะสมสำหรับผู้ป่วยไตเรื้อรัง</t>
  </si>
  <si>
    <t>ควรรับประทานกล้วย, ส้ม, แตงโม</t>
  </si>
  <si>
    <t>ควรจำกัดการดื่มแอลกอฮอล์, น้ำอัดลม</t>
  </si>
  <si>
    <t>ควรจำกัดการรับประทานเนื้อสัตว์, เกลือ</t>
  </si>
  <si>
    <t>ควรจำกัดอาหารที่มีไขมันสูง</t>
  </si>
  <si>
    <t>ควรรับประทานอาหารที่มีเส้นใยสูง</t>
  </si>
  <si>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</si>
  <si>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ผู้ป่วยมีอาการท้องผูก หลังจากรับประทานยาที่แพทย์สั่ง ท่านจะแนะนำให้ผู้ป่วยใช้ยาใด ยกเว้น</t>
  </si>
  <si>
    <t>MOM (milk of magnesia)</t>
  </si>
  <si>
    <t>Metamucil® (psyllium seed)</t>
  </si>
  <si>
    <t>Senokot® (senosides)</t>
  </si>
  <si>
    <t>ELPco® (emulsion liquid paraffin compound)</t>
  </si>
  <si>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</si>
  <si>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9 Pharma Plus เล่มม่วง (เฉลยข้อ ข)</t>
  </si>
  <si>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</si>
  <si>
    <t>24 mL</t>
  </si>
  <si>
    <t>34 mL</t>
  </si>
  <si>
    <t>54 mL</t>
  </si>
  <si>
    <t>68 mL</t>
  </si>
  <si>
    <t>86 mL</t>
  </si>
  <si>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</si>
  <si>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ผู้ป่วยต้องการดื่มน้ำผลไม้ น้ำผลไม้ชนิดใดต่อไปนี้สามารถแนะนำให้ผู้ป่วยรับประทานได้</t>
  </si>
  <si>
    <t>น้ำลูกยอ</t>
  </si>
  <si>
    <t>น้ำแตงโม</t>
  </si>
  <si>
    <t>น้ำกระเจี๊ยบ</t>
  </si>
  <si>
    <t>น้ำกล้วยหอมปั่น</t>
  </si>
  <si>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</si>
  <si>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ผู้ป่วยมาพบแพทย์ด้วยอาการไอแห้ง ไม่มีน้ำมูก ไม่มีไข้ ท่านคิดว่าน่าจะเกิดจากยาตัวใด</t>
  </si>
  <si>
    <t>Sodamint</t>
  </si>
  <si>
    <t>1alpha-VitD3</t>
  </si>
  <si>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</si>
  <si>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</si>
  <si>
    <t>Tacrolimus</t>
  </si>
  <si>
    <t>Mycophenolate mofetil</t>
  </si>
  <si>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</si>
  <si>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13 Pharma Plus เล่มม่วง (เฉลยข้อ ง)</t>
  </si>
  <si>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</si>
  <si>
    <t>10 mL/min</t>
  </si>
  <si>
    <t>15 mL/min</t>
  </si>
  <si>
    <t>20 mL/min</t>
  </si>
  <si>
    <t>25 mL/min</t>
  </si>
  <si>
    <t>30 mL/min</t>
  </si>
  <si>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</si>
  <si>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</si>
  <si>
    <t>Bleeding</t>
  </si>
  <si>
    <t>ได้รับยา nephrotoxic</t>
  </si>
  <si>
    <t>นิ่ว</t>
  </si>
  <si>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</si>
  <si>
    <t>ภาวะ oliguria คือข้อใด</t>
  </si>
  <si>
    <t>ภาวะปัสสาวะมากกว่าปกติ</t>
  </si>
  <si>
    <t>ภาวะปัสสาวะน้อยกว่าปกติ</t>
  </si>
  <si>
    <t>ภาวะปัสสาวะใกล้เคียงกับปกติ</t>
  </si>
  <si>
    <t>ภาวะเม็ดเลือดในปัสสาวะ</t>
  </si>
  <si>
    <t>ภาวะโปรตีนในปัสสาวะ</t>
  </si>
  <si>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</si>
  <si>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อาการข้างต้น อาจเกิดได้จากยาในข้อใด</t>
  </si>
  <si>
    <t>Felodipine</t>
  </si>
  <si>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</si>
  <si>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ในภาวะข้างต้น ผู้ป่วยควรได้รับการรักษาในข้อมากที่สุด ในการปรับสมดุลอิเล็กโทรไลต์</t>
  </si>
  <si>
    <t>Dextrose + insulin</t>
  </si>
  <si>
    <t>Calcitriol</t>
  </si>
  <si>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</si>
  <si>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ข้อใดเป็นผลกระทบเกี่ยวกับสมดุลอิเล็กโทรไลต์จากการใช้ยา oral corticosteroids</t>
  </si>
  <si>
    <t>Hypocalcemia</t>
  </si>
  <si>
    <t>Hyperchloremic</t>
  </si>
  <si>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</si>
  <si>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19 Pharma Plus เล่มม่วง (เฉลยข้อ ง)</t>
  </si>
  <si>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</si>
  <si>
    <t>ผู้ป่วยเป็นโรคความดันโลหิตสูงและเบาหวาน</t>
  </si>
  <si>
    <t>ผู้ป่วยเป็นโรคเกาต์</t>
  </si>
  <si>
    <t>สูบบุหรี่วันละ 1 ซอง</t>
  </si>
  <si>
    <t>ไม่ค่อยออกกำลังกาย</t>
  </si>
  <si>
    <t>มีอาชีพเป็นทนาย</t>
  </si>
  <si>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</si>
  <si>
    <t>ผู้ป่วยมีภาวะ fluid retention ควรได้รับยาใด</t>
  </si>
  <si>
    <t>Amirolide</t>
  </si>
  <si>
    <t>HCTZ+Amirolide</t>
  </si>
  <si>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</si>
  <si>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</si>
  <si>
    <t>ไตวายเฉียบพลัน จากยา enalapril</t>
  </si>
  <si>
    <t>ไตวายเฉียบพลัน จากยา hydrochlorothiazide</t>
  </si>
  <si>
    <t>ไตวายเฉียบพลัน จากภาวะ dehydration</t>
  </si>
  <si>
    <t>ไตวายเรื้อรัง จากโรคความดันโลหิตสูง</t>
  </si>
  <si>
    <t>ไตวายเรื้อรัง จากการมีนิ่วอุดตันในท่อไต</t>
  </si>
  <si>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</si>
  <si>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Hydrochlorothiazide (HCTZ) ออกฤทธิ์ยับยั้งกระบวนการในข้อใด</t>
  </si>
  <si>
    <t>Vasopressin's action</t>
  </si>
  <si>
    <t>Reabsorption of Na⁺</t>
  </si>
  <si>
    <t>Na⁺/K⁺/2Cl⁻ symporter</t>
  </si>
  <si>
    <t>Na⁺/K⁺ exchanger</t>
  </si>
  <si>
    <t>Reabsorption by Na⁺/Cl⁻ symporter</t>
  </si>
  <si>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</si>
  <si>
    <t>ผู้ป่วยมีภาวะ fluid retention การรักษาใดที่ไม่เหมาะสม</t>
  </si>
  <si>
    <t>ให้ยาขับปัสสาวะ</t>
  </si>
  <si>
    <t>ควบคุมความดันด้วยยา enalapril ต่อ</t>
  </si>
  <si>
    <t>รักษา CHF ด้วยยา digoxin</t>
  </si>
  <si>
    <t>ทำ hemodialysis</t>
  </si>
  <si>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</si>
  <si>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แพทย์พิจารณาจ่ายยาขับปัสสาวะ ยาใดเหมาะสมที่สุดในผู้ป่วยรายนี้</t>
  </si>
  <si>
    <t>Ethacrynic acid</t>
  </si>
  <si>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</si>
  <si>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อาการข้างเคียงจากการใช้ยาขับปัสสาวะดังกล่าวข้างต้นคือข้อใด</t>
  </si>
  <si>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</si>
  <si>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26 Pharma Plus เล่มม่วง (เฉลยข้อ ก ค)</t>
  </si>
  <si>
    <t>of oxidation is increased by the addition of alkali or by exposure to light. (ใช้ตอบข้อ 57-58)
ควรให้ยาใด</t>
  </si>
  <si>
    <t>Atezolizumab + Bevacizumab</t>
  </si>
  <si>
    <t>Amivantamab + Lazertinib</t>
  </si>
  <si>
    <t>Carboplatin + Paclitaxel</t>
  </si>
  <si>
    <t>Osimertinib + Pemetrexed</t>
  </si>
  <si>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</si>
  <si>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</si>
  <si>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CKD/AKI</t>
  </si>
  <si>
    <t>Mock PLE-CC 1 ข้อ 66</t>
  </si>
  <si>
    <t>ยาที่เลือกข้อก่อนหน้า เกี่ยวกับ biomaker ใด</t>
  </si>
  <si>
    <t>จับกับ MHC class 1 เพิ่ม antigen presentation</t>
  </si>
  <si>
    <t>จับ CTLA-4 บน T cell เพิ่มการทำงานของ Treg</t>
  </si>
  <si>
    <t>จับ PD-L1 บน tumor cell เพิ่ม clt</t>
  </si>
  <si>
    <t>จับ PD-1 บน T cell ลดการจับกันของ PD-1/PD-L1 ส่งผลให้ฟื้นการทำงานของ T cell</t>
  </si>
  <si>
    <t>จับ EGFR หยุดสัญญาณกระตุ้นเซลล์</t>
  </si>
  <si>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</si>
  <si>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69</t>
  </si>
  <si>
    <t>ถัา EGFR exon 19 deletion positive ต้องเปลี่ยนการรักษาเป็นอะไร</t>
  </si>
  <si>
    <t>รักษาแบบเดิม</t>
  </si>
  <si>
    <t>Pembrolizumab</t>
  </si>
  <si>
    <t>Ceftuximab</t>
  </si>
  <si>
    <t>Bevacizumab + carboplatin + paciltaxel</t>
  </si>
  <si>
    <t>EGFR TKI target therapy</t>
  </si>
  <si>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</si>
  <si>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70</t>
  </si>
  <si>
    <t>Immune checkpoint inhibitor (ICI) ใน NSCLC (non-small cell lung cancer) อะไรบ่งบอกว่าการรักษาดีขึ้น</t>
  </si>
  <si>
    <t>CEA (Carcinoembryonic antigen)</t>
  </si>
  <si>
    <t>TPS ของ PD-L1 (Tumor Proportion Score of PD-L1)</t>
  </si>
  <si>
    <t>TMB ต ่า (Tumor Mutational Burden ต ่า)</t>
  </si>
  <si>
    <t>LDH ในเลือด (Lactate dehydrogenase)</t>
  </si>
  <si>
    <t>EGFR exon 19 deletion express</t>
  </si>
  <si>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</si>
  <si>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77</t>
  </si>
  <si>
    <t>กลไกที่ทำให้เกิด exon 19 deletion บน EGFR ส่งผลต่อกลไกการทำงานของ EGFR tyrosine kinase inhibitor
ยังไง</t>
  </si>
  <si>
    <t>ส่งผลต่อการจับ ligand</t>
  </si>
  <si>
    <t>ยับยั้งการแสดงออกของ BCL</t>
  </si>
  <si>
    <t>Furosemide 40 mg IV/PO OD</t>
  </si>
  <si>
    <t>Erythropoietin (EPO) 4000 units SC weekly</t>
  </si>
  <si>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</si>
  <si>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80</t>
  </si>
  <si>
    <t>การกลายพันธุ์ของ T790M ของ EGFR ใน NSCLC ทำให้ผู้ป่วยดื้อต่อยา Gifitinib กับ Erlotinib กลไกคืออะไร</t>
  </si>
  <si>
    <t>เพิ่มการจับ ATP ที่ kinase domain</t>
  </si>
  <si>
    <t>เพิ่ม Stearic hindrance ทำให้ไม่จับ ATP ที่ binding pocket</t>
  </si>
  <si>
    <t>เพิ่มการแสดงออก EGFR บนเยื่อหุ้ม Cellผิวเซลล์</t>
  </si>
  <si>
    <t>Internalization และ degradation ลดลง</t>
  </si>
  <si>
    <t>HER2 dimerization</t>
  </si>
  <si>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</si>
  <si>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81</t>
  </si>
  <si>
    <t>จากข้อมูลในสถานการณ์นี้ ข้อใดต่อไปนี้ไม่ใช่ปัจจัยเสี่ยงที่เกี่ยวข้องกับการเกิดโรคไตเรื้อรัง (CKD) ในผู้ป่วย รายนี้</t>
  </si>
  <si>
    <t>แม่</t>
  </si>
  <si>
    <t>HbA1c</t>
  </si>
  <si>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แม่ ไม่ตรงกับข้อบ่งใช้หรือกลไกการออกฤทธิ์ที่ถูกต้องตาม KDIGO 2022 CKD Guideline
• ข้อ ค. (HbA1c): HbA1c ไม่ตรงกับข้อบ่งใช้หรือกลไกการออกฤทธิ์ที่ถูกต้องตาม KDIGO 2022 CKD Guideline
• ข้อ ง. (FBS): FBS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</si>
  <si>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PLE_CC1_2567_Key ข้อ 48</t>
  </si>
  <si>
    <t>ข้อใดเป็นเกณฑ์ในการวินิจฉัยว่าผู้ป่วยคนนี้เป็นโรคไตเรื้อรัง</t>
  </si>
  <si>
    <t>serum HCO3 22 mg/dl</t>
  </si>
  <si>
    <t>AUACR 282</t>
  </si>
  <si>
    <t>คนในครอบครัวเป็นโรคไต</t>
  </si>
  <si>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(จำ choice ไม่ได้): จำ choice ไม่ได้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</si>
  <si>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PLE_CC1_2567_Key ข้อ 50</t>
  </si>
  <si>
    <t>ค;าใดที่ไม;ไดใชติดตามผลการรักษา AKI</t>
  </si>
  <si>
    <t>BP</t>
  </si>
  <si>
    <t>Urine specific gravity</t>
  </si>
  <si>
    <t>Intake/Output</t>
  </si>
  <si>
    <t>BUN / ิ / / / PLE-CC1 Preparation 2565 เฉลยโดย MUPY53 Part Laws</t>
  </si>
  <si>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BP ไม่ตรงกับข้อบ่งใช้หรือกลไกการออกฤทธิ์ที่ถูกต้องตาม KDIGO 2022 CKD Guideline
• ข้อ ค. (Urine specific gravity): Urine specific gravity ไม่ตรงกับข้อบ่งใช้หรือกลไกการออกฤทธิ์ที่ถูกต้องตาม KDIGO 2022 CKD Guideline
• ข้อ ง. (SCr): SCr ไม่ตรงกับข้อบ่งใช้หรือกลไกการออกฤทธิ์ที่ถูกต้องตาม KDIGO 2022 CKD Guideline
• ข้อ จ. (Intake/Output): Intake/Output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</si>
  <si>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PLE_CC1_2565_Day1_Key ข้อ 74</t>
  </si>
  <si>
    <t>Acute kidney injury (AKI)</t>
  </si>
  <si>
    <t>Potassium chloride 500 mg BID</t>
  </si>
  <si>
    <t>Calcium carbonate 1000 mg TID with meals</t>
  </si>
  <si>
    <t>Calcium acetate 667 mg TID with meals</t>
  </si>
  <si>
    <t>Sevelamer carbonate 800 mg TID with meals</t>
  </si>
  <si>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</si>
  <si>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PLE_CC1_2565_Day1_Key ข้อ 18</t>
  </si>
  <si>
    <t>ชีวสมมูลของยาที่ขับออกทางไต ไม-จำเปQนต$องดูอะไร lด 5 log k mnด การสลายRวoอยnด</t>
  </si>
  <si>
    <t>tmax</t>
  </si>
  <si>
    <t>Cmax</t>
  </si>
  <si>
    <t>AUC</t>
  </si>
  <si>
    <t>half-life PLE-CC1 Preparation 2565</t>
  </si>
  <si>
    <t>urinary excretion / ใ+,วม/บ Accumulative urinary recovery (Ae) เ1อ3วอ4างเ"น urine แทน AUC /บ Cmax</t>
  </si>
  <si>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tmax ไม่ตรงกับข้อบ่งใช้หรือกลไกการออกฤทธิ์ที่ถูกต้องตาม KDIGO 2022 CKD Guideline
• ข้อ ค. (Cmax): Cmax ไม่ตรงกับข้อบ่งใช้หรือกลไกการออกฤทธิ์ที่ถูกต้องตาม KDIGO 2022 CKD Guideline
• ข้อ ง. (AUC): AUC ไม่ตรงกับข้อบ่งใช้หรือกลไกการออกฤทธิ์ที่ถูกต้องตาม KDIGO 2022 CKD Guideline
• ข้อ จ. (half-life PLE-CC1 Preparation 2565): half-life PLE-CC1 Preparation 2565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</si>
  <si>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PLE_CC1_2565_Day2_Key ข้อ 75</t>
  </si>
  <si>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</si>
  <si>
    <t>Calcium gluconate 10% 10 mL IV over 5 min</t>
  </si>
  <si>
    <t>Calcitriol 0.25 mcg OD</t>
  </si>
  <si>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</si>
  <si>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9</t>
  </si>
  <si>
    <t>ค่า eGFR เท่ากับ 28 คืออยู่ KDIGO stage อะไร อิงตาม KDIGO 2012</t>
  </si>
  <si>
    <t>G1</t>
  </si>
  <si>
    <t>G2</t>
  </si>
  <si>
    <t>G3a</t>
  </si>
  <si>
    <t>G3b</t>
  </si>
  <si>
    <t>G4</t>
  </si>
  <si>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</si>
  <si>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111</t>
  </si>
  <si>
    <t>ประกาศสำนักงานคณะกรรมการอาหารและยา เรื่องหลักเกณฑ์ในการโฆษณาอาหาร 2564 [ http://www.ratchakitcha.soc.go.th/DATA/PDF/2564/E/073/T_0014.PDF ]</t>
  </si>
  <si>
    <t>Sodium bicarbonate 650 mg TID</t>
  </si>
  <si>
    <t>Kayexalate (Sodium polystyrene sulfonate) 15 g TID</t>
  </si>
  <si>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</si>
  <si>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2</t>
  </si>
  <si>
    <t>ผู้ป่วยจัดอยู่ CKD stage ใด = I ~ 45 - 59</t>
  </si>
  <si>
    <t>3a</t>
  </si>
  <si>
    <t>3b</t>
  </si>
  <si>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</si>
  <si>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73 (PLE_CC1_2562_Key.md)</t>
  </si>
  <si>
    <t>การไตเตรตดังกล!าวแบบใด</t>
  </si>
  <si>
    <t>Redox titrate</t>
  </si>
  <si>
    <t>Aqueous titrate</t>
  </si>
  <si>
    <t>Precipitation titrate</t>
  </si>
  <si>
    <t>Non aqueous titrate</t>
  </si>
  <si>
    <t>Complexometric</t>
  </si>
  <si>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</si>
  <si>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17 (PLE_CC1_2561_Key.md)</t>
  </si>
  <si>
    <t>ยาใดไม่ควรใช้ในผู้ป่วยโรคไตเรื อรังรายนี</t>
  </si>
  <si>
    <t>Alum milk</t>
  </si>
  <si>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</si>
  <si>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ยาใดห้ามใช้ในโรคไต</t>
  </si>
  <si>
    <t>ยาใดเป็นพิษต่อไตมากที่สุด</t>
  </si>
  <si>
    <t>Calcium ห้ามนำไปทำซ้ำทุกกรณี เว้นแต่จะได้รับอนุญาต</t>
  </si>
  <si>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</si>
  <si>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85 (PLE_CC1_2559.md)</t>
  </si>
  <si>
    <t>จัดอยู่ใน CKD stageใด</t>
  </si>
  <si>
    <t>II</t>
  </si>
  <si>
    <t>III</t>
  </si>
  <si>
    <t>IV</t>
  </si>
  <si>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</si>
  <si>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47 (PLE_CC1_2558_Key.md)</t>
  </si>
  <si>
    <t>ข้อใด ไม่ใช่ เกณฑ์วินิจฉัยภาวะไตเรื้อรัง</t>
  </si>
  <si>
    <t>GFR &lt; 45 ml/min/1.73 m2 ติดต่อกันเกิน 3 เดือน</t>
  </si>
  <si>
    <t>ตรวจพบอัลบูมินในปัสสาวะ ≥ 2 ใน 3 ครั้ง ในช่วง 3 เดือน</t>
  </si>
  <si>
    <t>ตรวจพบเม็ดเลือดแดงในปัสสาวะ ≥ 2 ใน 3 ครั้ง ในช่วง 3 เดือน</t>
  </si>
  <si>
    <t>พบความผิดปกติทางพยาธิสภาพ</t>
  </si>
  <si>
    <t>มีประวัติผ่าตัดปลูกถ่ายไต</t>
  </si>
  <si>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</si>
  <si>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84 (Pharmtutor_2024_Set2.md)</t>
  </si>
  <si>
    <t>ผู้ป่วยรายนี%มีภาวะโรคไตเรื%อรังอยู่ในระยะ (stage) ใด (1) Stage I (2) Stage II (3) Stage III (4) Stage IV (5) Stage V</t>
  </si>
  <si>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Calcium gluconate 10% 10 mL IV over 5 min ไม่ตรงกับข้อบ่งใช้หรือกลไกการออกฤทธิ์ที่ถูกต้องตาม KDIGO 2022 CKD Guideline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</si>
  <si>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64 (PLE_CC1_2557.md)</t>
  </si>
  <si>
    <t>serumcreatinine</t>
  </si>
  <si>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Calcitriol 0.25 mcg OD ไม่ตรงกับข้อบ่งใช้หรือกลไกการออกฤทธิ์ที่ถูกต้องตาม KDIGO 2022 CKD Guideline
• ข้อ ค. (Potassium chloride 500 mg BID): Potassium chloride 500 mg BID ไม่ตรงกับข้อบ่งใช้หรือกลไกการออกฤทธิ์ที่ถูกต้องตาม KDIGO 2022 CKD Guideline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Calcium acetate 667 mg TID with meals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</si>
  <si>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สาเหตุของการเกิดโรคไตในผู้ป่วยรายนี้</t>
  </si>
  <si>
    <t>smoke-induced</t>
  </si>
  <si>
    <t>alcohol-induced</t>
  </si>
  <si>
    <t>hypovolemia</t>
  </si>
  <si>
    <t>myoglobin-induced จากโจทย์ ผป.มี AST ALT สูงลิ่ว, มีอาการปวดกล้ามเนื้อ ปัสสาวะน้อย และมีสีแดง ไม่มีแรง Ref. ชีทเรียน dyslipidemia อ.วิลาวัณย์ Statins ADR</t>
  </si>
  <si>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</si>
  <si>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รักษาสมดุลของระดับแคลเซียมในเลือดโดยกระตุ้นการสลายแคลเซียมออกจากกระดูกและดูดซึมแคลเซียม กลับจากท่อไต</t>
  </si>
  <si>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</si>
  <si>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มีการทำงานของไตบกพร่อง Anxiety</t>
  </si>
  <si>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Calcium acetate 667 mg TID with meals ไม่ตรงกับข้อบ่งใช้หรือกลไกการออกฤทธิ์ที่ถูกต้องตาม KDIGO 2022 CKD Guideline
• ข้อ ง. (Sevelamer carbonate 800 mg TID with meals): เป็น Non-calcium, non-aluminum phosphate binder เหมาะสำหรับ CKD patients ที่มี hypercalcemia หรือ vascular calcification
• ข้อ จ. (Sodium bicarbonate 650 mg TID): ARB ยับยั้ง AT1 receptor โดยตรง ไม่เพิ่ม bradykinin จึงไม่มีอาการไอ มีผล renoprotective ใน DKD คล้าย ACEi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</si>
  <si>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ยา A 80% ขับออกทางไตและขับออกในรูป active metabolite ข้อใดเหมาะสมมากที่สุด</t>
  </si>
  <si>
    <t>ควรพิจารณาปรับขนาดยาลดลง หากผู้ป่วยมีการทำงานของไตแย่ลง</t>
  </si>
  <si>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</si>
  <si>
    <t>ไม่มีความจำเป็นต้องปรับขนาดยาในผู้ป่วยโรคไต</t>
  </si>
  <si>
    <t>ผู้ป่วยควรดื่มน้ำหลังรับประทานยามากๆ เพื่อลดการเกิดพิษของยาต่อไต</t>
  </si>
  <si>
    <t>ผู้ป่วย CKD จะไม่สามารถใช้ยาตัวดังกล่าวได้</t>
  </si>
  <si>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KDIGO 2022 CKD Guideline
• ข้อ ค. (ไม่มีความจำเป็นต้องปรับขนาดยาในผู้ป่วยโรคไต): ไม่มีความจำเป็นต้องปรับขนาดยาในผู้ป่วยโรคไต ไม่ตรงกับข้อบ่งใช้หรือกลไกการออกฤทธิ์ที่ถูกต้องตาม KDIGO 2022 CKD Guideline
• ข้อ ง. (ผู้ป่วยควรดื่มน้ำหลังรับประทานยามากๆ เพื่อลดการเกิดพิษของยาต่อไต): ผู้ป่วยควรดื่มน้ำหลังรับประทานยามากๆ เพื่อลดการเกิดพิษของยาต่อไต ไม่ตรงกับข้อบ่งใช้หรือกลไกการออกฤทธิ์ที่ถูกต้องตาม KDIGO 2022 CKD Guideline
• ข้อ จ. (ผู้ป่วย CKD จะไม่สามารถใช้ยาตัวดังกล่าวได้): ผู้ป่วย CKD จะไม่สามารถใช้ยาตัวดังกล่าวได้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</si>
  <si>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ปรับขนาดยาตามไต</t>
  </si>
  <si>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</si>
  <si>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</si>
  <si>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Potassium chloride 500 mg BID ไม่ตรงกับข้อบ่งใช้หรือกลไกการออกฤทธิ์ที่ถูกต้องตาม KDIGO 2022 CKD Guideline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Calcium acetate 667 mg TID with meals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</si>
  <si>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ต้องระวังการใช้ยาในผู้ป่วยโรคไต</t>
  </si>
  <si>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ARB ยับยั้ง AT1 receptor โดยตรง ไม่เพิ่ม bradykinin จึงไม่มีอาการไอ มีผล renoprotective ใน DKD คล้าย ACEi
• ข้อ ง. (Kayexalate (Sodium polystyrene sulfonate) 15 g TID): Kayexalate (Sodium polystyrene sulfonate) 15 g TID ไม่ตรงกับข้อบ่งใช้หรือกลไกการออกฤทธิ์ที่ถูกต้องตาม KDIGO 2022 CKD Guideline
• ข้อ จ. (Calcium gluconate 10% 10 mL IV over 5 min): Calcium gluconate 10% 10 mL IV over 5 min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</si>
  <si>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</si>
  <si>
    <t>ยาบำรุงเลือดสำหรับผู้ป่วยโรคไตที่แนะนำในผู้ป่วยรายนี้มากที่สุด</t>
  </si>
  <si>
    <t>การโฆษณาทางวิทยุยาสามัญประจำบ้านแผนโบราณสามารถรักษาโรคไตเรื้องรัง ข้อใดต่อไปนี้ถูก</t>
  </si>
  <si>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</si>
  <si>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Creatinine phosphokinase ตอบ 4. Liver enzyme เนื่องจาก standard regimen มียาที่metabolismผ่านตับคือ H, R, Z มีความเสี่ยงการเกิดตับอักเสบ</t>
  </si>
  <si>
    <t>หากใช้ยาคุมกำเนิดร่วมกับยา Rifampin จะเกิดผลอย่างไรกับยาคุมกำเนิดที่ใช้อยู่</t>
  </si>
  <si>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(Calcium gluconate 10% 10 mL IV over 5 min): Calcium gluconate 10% 10 mL IV over 5 min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</si>
  <si>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</si>
  <si>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Erythropoietin (EPO) กระตุ้น erythropoiesis ใน bone marrow ใช้รักษา anemia of CKD ต้องให้ iron supplement ร่วม เสี่ยง hypertension และ thrombosis
• ข้อ ค. (Calcitriol 0.25 mcg OD): Calcitriol 0.25 mcg OD ไม่ตรงกับข้อบ่งใช้หรือกลไกการออกฤทธิ์ที่ถูกต้องตาม KDIGO 2022 CKD Guideline
• ข้อ ง. (Potassium chloride 500 mg BID): Potassium chloride 500 mg BID ไม่ตรงกับข้อบ่งใช้หรือกลไกการออกฤทธิ์ที่ถูกต้องตาม KDIGO 2022 CKD Guideline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</si>
  <si>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ถ$ามีภาวะไตวาย ห$ามใช$ยาใด</t>
  </si>
  <si>
    <t>Isoniazid</t>
  </si>
  <si>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</si>
  <si>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14 (PLE_CC1_Key_Rx20_UBU.md)</t>
  </si>
  <si>
    <t>Increase serum creatinine</t>
  </si>
  <si>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ARB ยับยั้ง AT1 receptor โดยตรง ไม่เพิ่ม bradykinin จึงไม่มีอาการไอ มีผล renoprotective ใน DKD คล้าย ACEi
• ข้อ ค. (Kayexalate (Sodium polystyrene sulfonate) 15 g TID): Kayexalate (Sodium polystyrene sulfonate) 15 g TID ไม่ตรงกับข้อบ่งใช้หรือกลไกการออกฤทธิ์ที่ถูกต้องตาม KDIGO 2022 CKD Guideline
• ข้อ ง. (Calcium gluconate 10% 10 mL IV over 5 min): Calcium gluconate 10% 10 mL IV over 5 min ไม่ตรงกับข้อบ่งใช้หรือกลไกการออกฤทธิ์ที่ถูกต้องตาม KDIGO 2022 CKD Guideline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</si>
  <si>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Erythropoietin (EPO) กระตุ้น erythropoiesis ใน bone marrow ใช้รักษา anemia of CKD ต้องให้ iron supplement ร่วม เสี่ยง hypertension และ thrombosis
• ข้อ ง. (Calcitriol 0.25 mcg OD): Calcitriol 0.25 mcg OD ไม่ตรงกับข้อบ่งใช้หรือกลไกการออกฤทธิ์ที่ถูกต้องตาม KDIGO 2022 CKD Guideline
• ข้อ จ. (Potassium chloride 500 mg BID): Potassium chloride 500 mg BID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</si>
  <si>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Serum creatinine kinase</t>
  </si>
  <si>
    <t>ควรประเมินการทำงานของไต</t>
  </si>
  <si>
    <t>Ganciclovir encephalitis ,PCP ใช้ Bactrim ทั้งคู๋ Case 7: โรคไต หญิงอายุ 68 ปี น้ำหนัก 50 kg เป็นโรคไตเรื้อรังมานาน 2 ปี serum creatinine 5 mg/dl</t>
  </si>
  <si>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Kayexalate (Sodium polystyrene sulfonate) 15 g TID ไม่ตรงกับข้อบ่งใช้หรือกลไกการออกฤทธิ์ที่ถูกต้องตาม KDIGO 2022 CKD Guideline
• ข้อ ข. (Calcium gluconate 10% 10 mL IV over 5 min): Calcium gluconate 10% 10 mL IV over 5 min ไม่ตรงกับข้อบ่งใช้หรือกลไกการออกฤทธิ์ที่ถูกต้องตาม KDIGO 2022 CKD Guideline
• ข้อ ง. (Erythropoietin (EPO) 4000 units SC weekly): Erythropoietin (EPO) กระตุ้น erythropoiesis ใน bone marrow ใช้รักษา anemia of CKD ต้องให้ iron supplement ร่วม เสี่ยง hypertension และ thrombosis
• ข้อ จ. (Calcitriol 0.25 mcg OD): Calcitriol 0.25 mcg OD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</si>
  <si>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ผู้ป่วยเป็นโรคไตในระยะใด</t>
  </si>
  <si>
    <t>เภสัชกรควรแนะนำการใช้ยา savelamer carbonate อย่างไร = = or , Tricians Undign, navos X ิomdermissionery ~</t>
  </si>
  <si>
    <t>ห้ามเคี้ยวหรือบดให้ละเอียดก่อนรับประทาน</t>
  </si>
  <si>
    <t>ลดการกินอาหารที่มีโพแทสเซียมสูง</t>
  </si>
  <si>
    <t>ยานี้อาจทำให้เกิดการชักจากการขาดแคลเซียม</t>
  </si>
  <si>
    <t>กำจัดปริมาณน้ำต่อวันให้น้อยกว่า 1 ลิตร</t>
  </si>
  <si>
    <t>รับประทานก่อนนอน</t>
  </si>
  <si>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</si>
  <si>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78 (PLE_CC1_2562_Key.md)</t>
  </si>
  <si>
    <t>ยาในข้อใดมีผลทำให(เกิด proteinuria hypophosphatemia glycosuria hypokalemia hypocalcaemia และ bicarbonate wasting is't salty</t>
  </si>
  <si>
    <t>Tenofovir</t>
  </si>
  <si>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</si>
  <si>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ข้อ 67 (PLE_CC1_2561_Key.md)</t>
  </si>
  <si>
    <t>ยาในข้อใดเป็นยาทางเลือกแรกในการรักษาภาวะ Hyperphosphatemia</t>
  </si>
  <si>
    <t>Calcium hydroxide</t>
  </si>
  <si>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</si>
  <si>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83 (Pharmtutor_2024_Set2.md)</t>
  </si>
  <si>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</si>
  <si>
    <t>เริ่มให้ N-acetylcysteine (NAC) ทางหลอดเลือดดำทันทีตามเกณฑ์ Rumack-Matthew nomogram</t>
  </si>
  <si>
    <t>ให้ Activated charcoal 50 กรัม รับประทานทันทีเพื่อลดการดูดซึมยา</t>
  </si>
  <si>
    <t>รอตรวจซ้ำ Serum Paracetamol ที่ 12 ชั่วโมงหลังรับประทานยาก่อนตัดสินใจให้ยาต้านพิษ</t>
  </si>
  <si>
    <t>ให้การรักษาแบบประคับประคองและติดตามค่า AST/ALT ทุก 24 ชั่วโมงโดยไม่ต้องให้ยาต้านพิษ</t>
  </si>
  <si>
    <t>ทำ Gastric lavage ร่วมกับให้ Sodium bicarbonate ทางหลอดเลือดดำ</t>
  </si>
  <si>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</si>
  <si>
    <t>Paracetamol Toxicity</t>
  </si>
  <si>
    <t>Rumack-Matthew Nomogram &amp; NAC Protocol</t>
  </si>
  <si>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</si>
  <si>
    <t>หยุดหยดยา NAC ชั่วคราว ให้ Chlorpheniramine ฉีดเข้าหลอดเลือดดำ และเริ่มหยด NAC ต่อในอัตราที่ช้าลงเมื่ออาการดีขึ้น</t>
  </si>
  <si>
    <t>หยุดยา NAC ถาวรทันทีและเปลี่ยนเป็น Activated charcoal ทางสายยาง</t>
  </si>
  <si>
    <t>ฉีด Adrenaline (Epinephrine) 0.5 mg เข้ากล้ามเนื้อทันทีเนื่องจากเป็น Anaphylaxis</t>
  </si>
  <si>
    <t>เพิ่มอัตราเร็วการหยดยา NAC ให้หมดเร็วขึ้นเพื่อรีบขับพิษออกจากร่างกาย</t>
  </si>
  <si>
    <t>ให้ Hydrocortisone 100 mg IV และส่งผู้ป่วยเข้าห้องผ่าตัดเพื่อปลูกถ่ายตับฉุกเฉิน</t>
  </si>
  <si>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</si>
  <si>
    <t>NAC Non-IgE Anaphylactoid Reaction</t>
  </si>
  <si>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</si>
  <si>
    <t>Atropine</t>
  </si>
  <si>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</si>
  <si>
    <t>Opioid Toxicity</t>
  </si>
  <si>
    <t>Opioid Toxidrome &amp; Naloxone</t>
  </si>
  <si>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</si>
  <si>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</si>
  <si>
    <t>สามารถอนุญาตให้กลับบ้านได้ทันทีหากเดินทรงตัวได้ดี</t>
  </si>
  <si>
    <t>สังเกตอาการต่อเพียง 1 ชั่วโมง หากไม่ง่วงซึมสามารถกลับบ้านได้</t>
  </si>
  <si>
    <t>ให้ยา Naloxone ชนิดรับประทานกลับไปกินที่บ้านต่อเนื่อง 3 วัน</t>
  </si>
  <si>
    <t>เปลี่ยนยาเป็น Naltrexone ฉีดเข้ากล้ามเนื้อก่อนจำหน่ายออกจากโรงพยาบาล</t>
  </si>
  <si>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</si>
  <si>
    <t>Renarcotization risk with Methadone</t>
  </si>
  <si>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</si>
  <si>
    <t>Atropine sulfate</t>
  </si>
  <si>
    <t>Pralidoxime (2-PAM)</t>
  </si>
  <si>
    <t>Salbutamol nebulizer</t>
  </si>
  <si>
    <t>Succinylcholine</t>
  </si>
  <si>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</si>
  <si>
    <t>Organophosphate Toxicity</t>
  </si>
  <si>
    <t>Cholinergic Toxidrome &amp; Atropine</t>
  </si>
  <si>
    <t>ข้อใดเป็นข้อบ่งชี้และหลักการที่ถูกต้องในการใช้ Pralidoxime (2-PAM) ในผู้ป่วยที่ได้รับสารพิษกลุ่ม Organophosphates</t>
  </si>
  <si>
    <t>ควรให้โดยเร็วที่สุดก่อนเกิดกระบวนการ Aging ของเอนไซม์ Acetylcholinesterase โดยเฉพาะเพื่อลดอาการกล้ามเนื้ออ่อนแรง (Nicotinic symptoms)</t>
  </si>
  <si>
    <t>ให้เดี่ยวๆ โดยไม่ต้องให้ Atropine ร่วมด้วย</t>
  </si>
  <si>
    <t>ใช้ได้ผลดีเลิศและจำเป็นต้องให้ในผู้ป่วยที่ได้รับสารพิษกลุ่ม Carbamates ทุกราย</t>
  </si>
  <si>
    <t>ให้เฉพาะเมื่อผู้ป่วยมีอาการน้ำลายไหลและม่านตาหดเล็กเท่านั้น</t>
  </si>
  <si>
    <t>สามารถให้ทดแทนการล้างตัว (Decontamination) ในผู้ป่วยที่สัมผัสทางผิวหนังได้</t>
  </si>
  <si>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</si>
  <si>
    <t>Pralidoxime &amp; Aging of AChE</t>
  </si>
  <si>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</si>
  <si>
    <t>Fomepizole หรือ Ethanol 10% IV infusion</t>
  </si>
  <si>
    <t>Methylene blue</t>
  </si>
  <si>
    <t>Dimercaprol (BAL)</t>
  </si>
  <si>
    <t>Thiamine IV</t>
  </si>
  <si>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</si>
  <si>
    <t>Toxic Alcohol</t>
  </si>
  <si>
    <t>Methanol toxicity &amp; Alcohol dehydrogenase</t>
  </si>
  <si>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</si>
  <si>
    <t>Folic acid (หรือ Folinic acid / Leucovorin)</t>
  </si>
  <si>
    <t>Pyridoxine (Vitamin B6)</t>
  </si>
  <si>
    <t>Thiamine (Vitamin B1)</t>
  </si>
  <si>
    <t>Vitamin K1 (Phytomenadione)</t>
  </si>
  <si>
    <t>Ascorbic acid (Vitamin C)</t>
  </si>
  <si>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</si>
  <si>
    <t>Folic acid role in Methanol metabolism</t>
  </si>
  <si>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</si>
  <si>
    <t>Hydroxocobalamin (Cyanokit)</t>
  </si>
  <si>
    <t>Sodium nitrite + Sodium thiosulfate</t>
  </si>
  <si>
    <t>Atropine + Pralidoxime</t>
  </si>
  <si>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</si>
  <si>
    <t>Cyanide Toxicity</t>
  </si>
  <si>
    <t>Cyanide Poisoning in Smoke Inhalation</t>
  </si>
  <si>
    <t>กลไกการออกฤทธิ์ของ Sodium thiosulfate ในการรักษาภาวะพิษจาก Cyanide คือข้อใด</t>
  </si>
  <si>
    <t>ทำหน้าที่เป็น Sulfur donor ให้แก่เอนไซม์ Rhodanese เพื่อเปลี่ยน Cyanide เป็น Thiocyanate ที่ไม่เป็นพิษและขับออกทางไต</t>
  </si>
  <si>
    <t>ออกซิไดซ์ฮีโมโกลบินให้กลายเป็น Methemoglobin เพื่อดึง Cyanide ออกจาก Cytochrome oxidase</t>
  </si>
  <si>
    <t>แย่งจับกับ Cytochrome c oxidase โดยตรงเพื่อป้องกันไม่ให้ Cyanide เข้าจับ</t>
  </si>
  <si>
    <t>กระตุ้นการทำงานของ Cytochrome P450 ในตับเพื่อสลายโมเลกุลของ Cyanide</t>
  </si>
  <si>
    <t>จับกับ Cyanide ในทางเดินอาหารและป้องกันการดูดซึม</t>
  </si>
  <si>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</si>
  <si>
    <t>Sodium thiosulfate mechanism of action</t>
  </si>
  <si>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</si>
  <si>
    <t>Hypercalcemia เดี่ยวๆ โดยที่โปแทสเซียมปกติ</t>
  </si>
  <si>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</si>
  <si>
    <t>Digoxin Toxicity</t>
  </si>
  <si>
    <t>Hypokalemia predisposing to Digoxin toxicity</t>
  </si>
  <si>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</si>
  <si>
    <t>ยาแก้พิษคือ Digoxin-specific Fab (Digibind) และห้ามฉีด Calcium gluconate/chloride</t>
  </si>
  <si>
    <t>ยาแก้พิษคือ Calcium chloride และห้ามให้ Digoxin-specific Fab</t>
  </si>
  <si>
    <t>ยาแก้พิษคือ Atropine และห้ามให้ Potassium chloride</t>
  </si>
  <si>
    <t>ยาแก้พิษคือ Sodium polystyrene sulfonate และห้ามให้ Magnesium</t>
  </si>
  <si>
    <t>ยาแก้พิษคือ Amiodarone และห้ามให้ Lidocaine</t>
  </si>
  <si>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</si>
  <si>
    <t>Digibind &amp; Avoid Calcium in Digoxin toxicity</t>
  </si>
  <si>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</si>
  <si>
    <t>Deferoxamine (Desferrioxamine)</t>
  </si>
  <si>
    <t>Calcium disodium EDTA</t>
  </si>
  <si>
    <t>Succimer (DMSA)</t>
  </si>
  <si>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</si>
  <si>
    <t>Iron Toxicity</t>
  </si>
  <si>
    <t>Iron toxicity &amp; Deferoxamine</t>
  </si>
  <si>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</si>
  <si>
    <t>Lead (ตะกั่ว) — รักษาด้วย Dimercaprol (BAL) ร่วมกับ Calcium disodium EDTA</t>
  </si>
  <si>
    <t>Arsenic (สารหนู) — รักษาด้วย Deferoxamine</t>
  </si>
  <si>
    <t>Mercury (ปรอท) — รักษาด้วย Sodium thiosulfate</t>
  </si>
  <si>
    <t>Cadmium (แคดเมียม) — รักษาด้วย Penicillamine</t>
  </si>
  <si>
    <t>Iron (เหล็ก) — รักษาด้วย N-acetylcysteine</t>
  </si>
  <si>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</si>
  <si>
    <t>Heavy Metal Toxicity</t>
  </si>
  <si>
    <t>Lead poisoning symptoms &amp; Chelation</t>
  </si>
  <si>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</si>
  <si>
    <t>Dimercaprol (BAL) ฉีดเข้ากล้ามเนื้อเป็น Antidote ทางเลือกแรกสำหรับพิษจากสารหนูและเกลืออนินทรีย์ของปรอท แต่ห้ามใช้ใน Organic mercury (Methylmercury)</t>
  </si>
  <si>
    <t>Calcium disodium EDTA เป็นยาทางเลือกแรกสำหรับ Organic mercury</t>
  </si>
  <si>
    <t>Deferoxamine สามารถใช้ทดแทน BAL ได้ในกรณีที่ผู้ป่วยแพ้ถั่วลิสง</t>
  </si>
  <si>
    <t>Dimercaprol สามารถบริหารยาทางหลอดเลือดดำได้อย่างปลอดภัย</t>
  </si>
  <si>
    <t>Succimer (DMSA) ห้ามใช้ในเด็กเนื่องจากกดการเจริญเติบโต</t>
  </si>
  <si>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</si>
  <si>
    <t>BAL in Arsenic/Mercury and peanut allergy precaution</t>
  </si>
  <si>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</si>
  <si>
    <t>Glucagon IV bolus ตามด้วย continuous infusion</t>
  </si>
  <si>
    <t>Calcium gluconate IV bolus</t>
  </si>
  <si>
    <t>Insulin regular ในขนาดปกติ 5-10 units IV</t>
  </si>
  <si>
    <t>Norepinephrine infusion เดี่ยวๆ</t>
  </si>
  <si>
    <t>Dopamine infusion ขนาดต่ำ (Renal dose)</t>
  </si>
  <si>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</si>
  <si>
    <t>Cardiovascular Drug Overdose</t>
  </si>
  <si>
    <t>Beta-blocker toxicity &amp; Glucagon</t>
  </si>
  <si>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</si>
  <si>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</si>
  <si>
    <t>ให้อินซูลินขนาดต่ำ 0.1 unit/kg/hr เพื่อลดระดับน้ำตาลในเลือดที่สูงให้อยู่ในเกณฑ์ปกติเท่านั้น</t>
  </si>
  <si>
    <t>ห้ามให้สารละลายน้ำตาลกลูโคสร่วมด้วยเด็ดขาดเนื่องจากผู้ป่วยมีภาวะน้ำตาลในเลือดสูงอยู่แล้ว</t>
  </si>
  <si>
    <t>อินซูลินออกฤทธิ์โดยการบล็อกแคลเซียมแชนแนลเพื่อลดการทำงานของหัวใจ</t>
  </si>
  <si>
    <t>ต้องหยุดอินซูลินทันทีหากระดับ Serum Potassium ต่ำกว่า 4.0 mEq/L</t>
  </si>
  <si>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</si>
  <si>
    <t>High-dose insulin in CCB overdose</t>
  </si>
  <si>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</si>
  <si>
    <t>เสี่ยงต่อการชักรุนแรงที่ไม่สามารถควบคุมได้และภาวะหัวใจเต้นผิดจังหวะจากการปลดปล่อยฤทธิ์ของ Cyclic Antidepressants (TCAs)</t>
  </si>
  <si>
    <t>Flumazenil ออกฤทธิ์เสริมพิษของ Amitriptyline ทำให้ความดันโลหิตสูงวิกฤต</t>
  </si>
  <si>
    <t>Flumazenil มีข้อห้ามใช้เด็ดขาดในผู้ป่วยที่ได้รับ Diazepam เกินขนาด</t>
  </si>
  <si>
    <t>Flumazenil จะทำให้เกิดพิษต่อตับเฉียบพลันจากปฏิกิริยาเสริมฤทธิ์ของยา</t>
  </si>
  <si>
    <t>Diazepam ขับออกทางไตหมดแล้ว การให้ Flumazenil จึงไม่มีประโยชน์</t>
  </si>
  <si>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</si>
  <si>
    <t>Sedative-Hypnotic Toxicity</t>
  </si>
  <si>
    <t>Flumazenil contraindications in mixed TCA overdose</t>
  </si>
  <si>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</si>
  <si>
    <t>ให้ 4-Factor Prothrombin Complex Concentrate (4F-PCC) ทางหลอดเลือดดำทันที ร่วมกับ Vitamin K1 10 mg IV infusion ช้าๆ</t>
  </si>
  <si>
    <t>ให้ Vitamin K1 10 mg รับประทานเพียงอย่างเดียว</t>
  </si>
  <si>
    <t>ให้ Fresh Frozen Plasma (FFP) เพียงอย่างเดียวโดยไม่ต้องให้ Vitamin K1</t>
  </si>
  <si>
    <t>ฉีด Protamine sulfate 50 mg ทางหลอดเลือดดำทันที</t>
  </si>
  <si>
    <t>ให้ Idarucizumab 5 g ทางหลอดเลือดดำ</t>
  </si>
  <si>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</si>
  <si>
    <t>Anticoagulant Reversal</t>
  </si>
  <si>
    <t>Warfarin reversal in major bleeding (4F-PCC + Vit K1)</t>
  </si>
  <si>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</si>
  <si>
    <t>Dabigatran คู่กับ Idarucizumab</t>
  </si>
  <si>
    <t>Rivaroxaban คู่กับ Protamine sulfate</t>
  </si>
  <si>
    <t>Apixaban คู่กับ Deferoxamine</t>
  </si>
  <si>
    <t>Enoxaparin คู่กับ Vitamin K1</t>
  </si>
  <si>
    <t>Warfarin คู่กับ Flumazenil</t>
  </si>
  <si>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</si>
  <si>
    <t>DOACs Specific Antidotes</t>
  </si>
  <si>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</si>
  <si>
    <t>งูเห่า (Cobra) หรือ งูจงอาง (King cobra) หรือ งูสามเหลี่ยม (Banded krait)</t>
  </si>
  <si>
    <t>งูกะปะ (Malayan pit viper)</t>
  </si>
  <si>
    <t>งูเขียวหางไหม้ (Green pit viper)</t>
  </si>
  <si>
    <t>งูแมวเซา (Russell's viper)</t>
  </si>
  <si>
    <t>งูเหลือม (Reticulated python)</t>
  </si>
  <si>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</si>
  <si>
    <t>Snake Envenomation</t>
  </si>
  <si>
    <t>Neurotoxic snake envenomation in Thailand</t>
  </si>
  <si>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</si>
  <si>
    <t>ผล 20WBCT ไม่แข็งตัว (Systemic hematotoxicity) หรือมีอาการบวมลามเกินกว่า 1 ข้อต่อใหญ่ภายในเวลาอันรวดเร็ว</t>
  </si>
  <si>
    <t>ให้เฉพาะเมื่อมีเลือดออกในอวัยวะภายใน เช่น เลือดออกในสมอง เท่านั้น</t>
  </si>
  <si>
    <t>ฉีดเซรุ่มเข้าที่แผลที่ถูกกัดโดยตรงเพื่อสลายพิษเฉพาะที่</t>
  </si>
  <si>
    <t>ต้องทำ Intradermal skin test ก่อนให้เซรุ่มทุกครั้ง หากผลบวกห้ามให้เซรุ่มเด็ดขาด</t>
  </si>
  <si>
    <t>ให้เซรุ่มต้านพิษงูระบบประสาทร่วมด้วยเสมอเพื่อป้องกันอาการกลืนลำบาก</t>
  </si>
  <si>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</si>
  <si>
    <t>Antivenom indications and administration</t>
  </si>
  <si>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</si>
  <si>
    <t>Pyridoxine (Vitamin B6) IV</t>
  </si>
  <si>
    <t>Thiamine (Vitamin B1) IV</t>
  </si>
  <si>
    <t>Folic acid IV</t>
  </si>
  <si>
    <t>Calcium gluconate IV</t>
  </si>
  <si>
    <t>Sodium bicarbonate IV</t>
  </si>
  <si>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</si>
  <si>
    <t>Antituberculosis Drug Overdose</t>
  </si>
  <si>
    <t>Isoniazid toxicity &amp; Pyridoxine gram-for-gram</t>
  </si>
  <si>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</si>
  <si>
    <t>ให้ออกซิเจนความเข้มข้น 100% ผ่าน Non-rebreather mask ทันที และพิจารณาส่งรับการบำบัดด้วย Hyperbaric Oxygen Therapy (HBOT)</t>
  </si>
  <si>
    <t>ให้ถอดหน้ากากออกซิเจนออกได้เนื่องจากค่า SpO2 ปกติ 98%</t>
  </si>
  <si>
    <t>ฉีด Methylene blue ทางหลอดเลือดดำทันที</t>
  </si>
  <si>
    <t>ให้ Sodium thiosulfate ทางหลอดเลือดดำ</t>
  </si>
  <si>
    <t>ให้การรักษาแบบประคับประคองโดยสูดอากาศปกติ (Room air) เนื่องจาก CO สลายตัวได้เอง</t>
  </si>
  <si>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</si>
  <si>
    <t>Inhalation Toxicology</t>
  </si>
  <si>
    <t>Carbon monoxide poisoning &amp; Pulse oximeter pitfall</t>
  </si>
  <si>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</si>
  <si>
    <t>Methylene blue — มีข้อห้ามใช้ในผู้ป่วย G6PD deficiency</t>
  </si>
  <si>
    <t>N-acetylcysteine — มีข้อห้ามใช้ในผู้ป่วยตับวาย</t>
  </si>
  <si>
    <t>Deferoxamine — มีข้อห้ามใช้ในผู้ป่วยโรคไต</t>
  </si>
  <si>
    <t>Atropine — มีข้อห้ามใช้ในผู้ป่วยโรคต้อหิน</t>
  </si>
  <si>
    <t>Sodium thiosulfate — มีข้อห้ามใช้ในผู้ป่วยแพ้อาหารทะเล</t>
  </si>
  <si>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</si>
  <si>
    <t>Methylene blue &amp; G6PD contraindication</t>
  </si>
  <si>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</si>
  <si>
    <t>Octreotide</t>
  </si>
  <si>
    <t>Glucagon</t>
  </si>
  <si>
    <t>Diazoxide เดี่ยวๆ แบบพ่นจมูก</t>
  </si>
  <si>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</si>
  <si>
    <t>Oral Hypoglycemic Overdose</t>
  </si>
  <si>
    <t>Sulfonylurea-induced hypoglycemia &amp; Octreotide</t>
  </si>
  <si>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</si>
  <si>
    <t>Leucovorin (Folinic acid) สำหรับ Rescue และใช้ Glucarpidase (Voraxaze) ในการสลาย Methotrexate</t>
  </si>
  <si>
    <t>Folic acid สำหรับ Rescue และใช้ Urate oxidase ในการสลาย</t>
  </si>
  <si>
    <t>N-acetylcysteine สำหรับ Rescue และใช้ Rasburicase ในการสลาย</t>
  </si>
  <si>
    <t>Thiamine สำหรับ Rescue และใช้ Deferoxamine ในการสลาย</t>
  </si>
  <si>
    <t>Pyridoxine สำหรับ Rescue และใช้ Pegloticase ในการสลาย</t>
  </si>
  <si>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</si>
  <si>
    <t>Oncology Antidotes</t>
  </si>
  <si>
    <t>Leucovorin rescue and Glucarpidase in MTX toxicity</t>
  </si>
  <si>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</si>
  <si>
    <t>การทำ Urine alkalinization ด้วย Sodium bicarbonate ทางหลอดเลือดดำเพื่อรักษาระดับ pH ของปัสสาวะให้อยู่ที่ 7.5-8.5 (Ion trapping)</t>
  </si>
  <si>
    <t>การให้ Ammonium chloride เพื่อทำปัสสาวะให้เป็นกรดเร่งการขับยา</t>
  </si>
  <si>
    <t>การให้สารน้ำ Isotonic saline เพียงอย่างเดียวโดยไม่ต้องปรับความเป็นกรดด่าง</t>
  </si>
  <si>
    <t>การให้ Furosemide ขนาดสูงเพื่อเร่งการขับปัสสาวะ (Forced diuresis)</t>
  </si>
  <si>
    <t>การฉีด N-acetylcysteine เพื่อจับกับ Salicylate</t>
  </si>
  <si>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</si>
  <si>
    <t>Salicylate Toxicity</t>
  </si>
  <si>
    <t>Aspirin toxicity &amp; Urine alkalinization (Ion trapping)</t>
  </si>
  <si>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</si>
  <si>
    <t>Dexrazoxane (Totect / Savene)</t>
  </si>
  <si>
    <t>Sodium thiosulfate</t>
  </si>
  <si>
    <t>Dimercaprol</t>
  </si>
  <si>
    <t>Phentolamine</t>
  </si>
  <si>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</si>
  <si>
    <t>Chemotherapy Extravasation</t>
  </si>
  <si>
    <t>Anthracycline extravasation antidote (Dexrazoxane)</t>
  </si>
  <si>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</si>
  <si>
    <t>Dantrolene</t>
  </si>
  <si>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</si>
  <si>
    <t>Serotonin Syndrome</t>
  </si>
  <si>
    <t>Hunter Criteria &amp; Cyproheptadine</t>
  </si>
  <si>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</si>
  <si>
    <t>หยุดยา Warfarin ชั่วคราว 1-2 ครั้ง ให้รับประทาน Oral Vitamin K1 ขนาดต่ำ 1-2.5 mg และตรวจติดตามค่า INR อย่างใกล้ชิด</t>
  </si>
  <si>
    <t>ฉีด Vitamin K1 10 mg ทางหลอดเลือดดำทันที</t>
  </si>
  <si>
    <t>ให้ 4-Factor Prothrombin Complex Concentrate (PCC) ทันที</t>
  </si>
  <si>
    <t>ให้ Fresh Frozen Plasma (FFP) 2 ยูนิต</t>
  </si>
  <si>
    <t>รับประทานยา Warfarin ในขนาดเดิมต่อไปโดยไม่ต้องปรับยาเนื่องจากไม่มีอาการเลือดออก</t>
  </si>
  <si>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</si>
  <si>
    <t>Asymptomatic high INR management</t>
  </si>
  <si>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</si>
  <si>
    <t>Calcium oxalate crystals เกิดจากสารพิษ Ethylene glycol</t>
  </si>
  <si>
    <t>Hippuric acid crystals เกิดจากสารพิษ Toluene</t>
  </si>
  <si>
    <t>Uric acid crystals เกิดจากสารพิษ Allopurinol</t>
  </si>
  <si>
    <t>Struvite crystals เกิดจากการติดเชื้อ Proteus mirabilis</t>
  </si>
  <si>
    <t>Cysteine crystals เกิดจากภาวะ Cystinuria</t>
  </si>
  <si>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</si>
  <si>
    <t>Calcium oxalate crystals in Ethylene glycol poisoning</t>
  </si>
  <si>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</si>
  <si>
    <t>20% Intravenous Lipid Emulsion (Intralipid)</t>
  </si>
  <si>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</si>
  <si>
    <t>Local Anesthetic Toxicity</t>
  </si>
  <si>
    <t>LAST &amp; 20% Lipid Emulsion</t>
  </si>
  <si>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</si>
  <si>
    <t>Sodium bicarbonate (NaHCO3) 8.4% IV push</t>
  </si>
  <si>
    <t>Amiodarone IV infusion</t>
  </si>
  <si>
    <t>Physostigmine IV</t>
  </si>
  <si>
    <t>Phenytoin IV infusion</t>
  </si>
  <si>
    <t>Procainamide IV</t>
  </si>
  <si>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</si>
  <si>
    <t>Antidepressant Toxicity</t>
  </si>
  <si>
    <t>TCA toxicity &amp; Sodium bicarbonate (QRS narrowing)</t>
  </si>
  <si>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</si>
  <si>
    <t>L-carnitine (Levocarnitine)</t>
  </si>
  <si>
    <t>Lactulose ร่วมกับ Neomycin เท่านั้น</t>
  </si>
  <si>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</si>
  <si>
    <t>Antiepileptic Drug Overdose</t>
  </si>
  <si>
    <t>Valproate-induced hyperammonemia &amp; L-carnitine</t>
  </si>
  <si>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</si>
  <si>
    <t>การทำให้อาเจียน, การล้างกระเพาะอาหาร (Gastric lavage), การให้สารสะเทินกรด (Neutralization ด้วยด่าง), และการให้ Activated charcoal</t>
  </si>
  <si>
    <t>การให้ผู้ป่วยงดน้ำและอาหาร (NPO) ทางปาก</t>
  </si>
  <si>
    <t>การให้สารน้ำทางหลอดเลือดดำและยาแก้ปวดอย่างเหมาะสม</t>
  </si>
  <si>
    <t>การปรึกษาแพทย์ศัลยกรรมหรือทางเดินอาหารเพื่อส่องกล้อง Esophagogastroduodenoscopy (EGD) ภายใน 24-48 ชั่วโมง</t>
  </si>
  <si>
    <t>การตรวจประเมินทางเดินหายใจอย่างใกล้ชิด</t>
  </si>
  <si>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</si>
  <si>
    <t>Corrosive / Caustic Ingestion</t>
  </si>
  <si>
    <t>Contraindications in caustic ingestion</t>
  </si>
  <si>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</si>
  <si>
    <t>Physostigmine</t>
  </si>
  <si>
    <t>Neostigmine</t>
  </si>
  <si>
    <t>Pyridostigmine</t>
  </si>
  <si>
    <t>Pralidoxime</t>
  </si>
  <si>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</si>
  <si>
    <t>Plant Toxicology</t>
  </si>
  <si>
    <t>Anticholinergic toxidrome &amp; Physostigmine</t>
  </si>
  <si>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</si>
  <si>
    <t>Hydrogen sulfide (H2S) — รักษาด้วย Sodium nitrite หรือ Amyl nitrite (ห้ามให้ Sodium thiosulfate)</t>
  </si>
  <si>
    <t>Methane — รักษาด้วย ออกซิเจน 100%</t>
  </si>
  <si>
    <t>Carbon monoxide — รักษาด้วย Methylene blue</t>
  </si>
  <si>
    <t>Ammonia — รักษาด้วย Sodium bicarbonate</t>
  </si>
  <si>
    <t>Chlorine — รักษาด้วย N-acetylcysteine</t>
  </si>
  <si>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</si>
  <si>
    <t>Hydrogen sulfide poisoning &amp; Nitrites</t>
  </si>
  <si>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</si>
  <si>
    <t>ผู้ลักลอบกลืนห่อยาเสพติดเข้าสู่ร่างกาย (Body packers) หรือการกลืนยาเม็ดชนิดออกฤทธิ์เนิ่นปริมาณมาก (Sustained-release drugs เช่น Verapamil SR)</t>
  </si>
  <si>
    <t>การรับประทานยานอนหลับ Diazepam ชนิดน้ำ</t>
  </si>
  <si>
    <t>การกลืนสารกัดกร่อนกรดกำมะถันรุนแรง</t>
  </si>
  <si>
    <t>ผู้ป่วยที่มีภาวะลำไส้อุดตัน (Bowel obstruction) หรือลำไส้ทะลุ</t>
  </si>
  <si>
    <t>การรับประทานยาพาราเซตามอลชนิดเม็ดธรรมดาภายใน 1 ชั่วโมง</t>
  </si>
  <si>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</si>
  <si>
    <t>Gastrointestinal Decontamination</t>
  </si>
  <si>
    <t>Whole bowel irrigation indications &amp; contraindications</t>
  </si>
  <si>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</si>
  <si>
    <t>โลหะหนัก (Iron, Lead, Lithium), แอลกอฮอล์ (Ethanol, Methanol), กรดแก่-ด่างแก่, และเกลือแร่โพแทสเซียม</t>
  </si>
  <si>
    <t>Paracetamol, Carbamazepine, Theophylline, Phenobarbital</t>
  </si>
  <si>
    <t>Dapsone, Quinine, Digoxin, Amitriptyline</t>
  </si>
  <si>
    <t>Aspirin, Propranolol, Phenytoin, Diazepam</t>
  </si>
  <si>
    <t>Chlorpheniramine, Dextromethorphan, Tramadol</t>
  </si>
  <si>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</si>
  <si>
    <t>Substances NOT absorbed by Activated Charcoal (PHAILS mnemonic)</t>
  </si>
  <si>
    <t>ในการหาปริมาณตัวยาสำคัญ Paracetamol raw material ตามตำรับยา Pharmacopoeia ใช้วิธีไทเทรตแบบใด?</t>
  </si>
  <si>
    <t>Acid-Base Titration in aqueous medium</t>
  </si>
  <si>
    <t>Nonaqueous Titration with Perchloric acid</t>
  </si>
  <si>
    <t>Redox Titration with Ceric ammonium sulfate (หลัง acid hydrolysis)</t>
  </si>
  <si>
    <t>Complexometric Titration with EDTA</t>
  </si>
  <si>
    <t>Precipitation Titration with Silver nitrate</t>
  </si>
  <si>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</si>
  <si>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Redox titration</t>
  </si>
  <si>
    <t>British Pharmacopoeia / Thai Pharmacopoeia</t>
  </si>
  <si>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</si>
  <si>
    <t>Citric acid (สารปรับ pH กรดและ chelating agent)</t>
  </si>
  <si>
    <t>Disodium EDTA (สารคีเลตดักจับประจุโลหะ)</t>
  </si>
  <si>
    <t>Paraben (สารกันเสีย antimicrobial preservative)</t>
  </si>
  <si>
    <t>Sodium metabisulfite (สารต้านออกซิเดชัน antioxidant)</t>
  </si>
  <si>
    <t>Sucrose (น้ำตาลซูโครสความเข้มข้นสูง)</t>
  </si>
  <si>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</si>
  <si>
    <t>Liquid Dosage Forms &amp; Formulation</t>
  </si>
  <si>
    <t>ข้อสอบ Product (Ferrous Sulfate Syrup Formulation)</t>
  </si>
  <si>
    <t>Titration</t>
  </si>
  <si>
    <t>Mock PLE-CC 1 ข้อ 57</t>
  </si>
  <si>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</si>
  <si>
    <t>Acid-base titration</t>
  </si>
  <si>
    <t>Redox titration (ไทเทรตด้วยสารละลายมาตรฐาน Ceric ammonium sulfate)</t>
  </si>
  <si>
    <t>Complexometric titration (ไทเทรตด้วย EDTA)</t>
  </si>
  <si>
    <t>Gravimetric titration</t>
  </si>
  <si>
    <t>Colorimetric titration</t>
  </si>
  <si>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</si>
  <si>
    <t>Redox Titration</t>
  </si>
  <si>
    <t>ข้อสอบ Product (Assay of Ferrous Salts)</t>
  </si>
  <si>
    <t>Mock PLE-CC 1 ข้อ 62</t>
  </si>
  <si>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</si>
  <si>
    <t>Direct titration</t>
  </si>
  <si>
    <t>Residual (Back) titration</t>
  </si>
  <si>
    <t>Complexometric titration</t>
  </si>
  <si>
    <t>Precipitation titration</t>
  </si>
  <si>
    <t>Non-aqueous acid-base titration</t>
  </si>
  <si>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</si>
  <si>
    <t>Acid-Base Titration</t>
  </si>
  <si>
    <t>ข้อสอบจริง PLE CC 1 ปี 2566 Day 1 ข้อ 23</t>
  </si>
  <si>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</si>
  <si>
    <t>Redox titration (Oxidation-Reduction)</t>
  </si>
  <si>
    <t>Precipitation titration (Argentometry)</t>
  </si>
  <si>
    <t>Complexometric titration (EDTA)</t>
  </si>
  <si>
    <t>Acid-base neutralization titration</t>
  </si>
  <si>
    <t>Non-aqueous titration</t>
  </si>
  <si>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</si>
  <si>
    <t>ข้อสอบจริง PLE CC 1 ปี 2566 Day 1 ข้อ 24</t>
  </si>
  <si>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</si>
  <si>
    <t>Precipitation titration (Fajans method)</t>
  </si>
  <si>
    <t>Precipitation titration (Mohr method)</t>
  </si>
  <si>
    <t>Precipitation titration (Volhard method)</t>
  </si>
  <si>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</si>
  <si>
    <t>Precipitation Titration</t>
  </si>
  <si>
    <t>ข้อสอบจริง PLE CC 1 ปี 2566 Day 2 ข้อ 88</t>
  </si>
  <si>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</si>
  <si>
    <t>Non-aqueous acid-base titration (การไตเตรทกรด-เบสในตัวทำละลายปราศจากน้ำ)</t>
  </si>
  <si>
    <t>Aqueous acid-base neutralization</t>
  </si>
  <si>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</si>
  <si>
    <t>Acid-Base Titration (Non-aqueous)</t>
  </si>
  <si>
    <t>ข้อสอบจริง PLE CC 1 ปี 2563 (BP Acyclovir Monograph)</t>
  </si>
  <si>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</si>
  <si>
    <t>Volhard method (การไตเตรทแบบย้อนกลับในสภาวะกรด)</t>
  </si>
  <si>
    <t>Mohr method (การไตเตรทโดยตรงในสภาวะเป็นกลาง)</t>
  </si>
  <si>
    <t>Fajans method (การไตเตรทโดยใช้อินดิเคเตอร์ดูดซับ)</t>
  </si>
  <si>
    <t>Direct acid-base titration</t>
  </si>
  <si>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</si>
  <si>
    <t>ข้อสอบ Product (Volhard Method &amp; Argentometry)</t>
  </si>
  <si>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</si>
  <si>
    <t>Hydroxynaphthol blue (หรือ Calconcarboxylic acid / Murexide)</t>
  </si>
  <si>
    <t>Phenolphthalein</t>
  </si>
  <si>
    <t>Methyl orange</t>
  </si>
  <si>
    <t>Ferroin</t>
  </si>
  <si>
    <t>Potassium chromate</t>
  </si>
  <si>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</si>
  <si>
    <t>Complexometric Titration</t>
  </si>
  <si>
    <t>ข้อสอบ Product (EDTA Calcium Carbonate Assay)</t>
  </si>
  <si>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</si>
  <si>
    <t>Iodimetry (Direct redox titration with Iodine)</t>
  </si>
  <si>
    <t>Iodometry (Indirect redox titration via I2 liberation and Thiosulfate)</t>
  </si>
  <si>
    <t>Permanganometry</t>
  </si>
  <si>
    <t>Biamperometric titration</t>
  </si>
  <si>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</si>
  <si>
    <t>ข้อสอบ Product (Iodimetry vs Iodometry Principles)</t>
  </si>
  <si>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</si>
  <si>
    <t>Complexometric titration (ไทเทรตด้วยสารละลายมาตรฐาน Disodium EDTA)</t>
  </si>
  <si>
    <t>Karl Fischer titration</t>
  </si>
  <si>
    <t>Fluorescence spectroscopy</t>
  </si>
  <si>
    <t>Infrared spectroscopy</t>
  </si>
  <si>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</si>
  <si>
    <t>ข้อสอบจริง PLE CC 1 ปี 2562 (Assay of Zinc Salts)</t>
  </si>
  <si>
    <t>ข้อ 41 (PLE_CC1_2562_Key.md)</t>
  </si>
  <si>
    <t>EDTA ในตำรับข(างต(นทำหน(าอะไร</t>
  </si>
  <si>
    <t>Vehicle</t>
  </si>
  <si>
    <t>Stiffening agent</t>
  </si>
  <si>
    <t>Emulsifying agent</t>
  </si>
  <si>
    <t>Acidifying agent</t>
  </si>
  <si>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</si>
  <si>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90 (PLE_CC1_2561_Key.md)</t>
  </si>
  <si>
    <t>Residue on ignition คือการตรวจอะไร</t>
  </si>
  <si>
    <t>เพื่อหาปริมาณสารที่ระเหยง.าย</t>
  </si>
  <si>
    <t>เพื่อหาปริมาณ organic impurity</t>
  </si>
  <si>
    <t>เพื่อหาปริมาณ in organic impurity</t>
  </si>
  <si>
    <t>เพื่อพิสูจนว.า organic impurity เป5นสารใด</t>
  </si>
  <si>
    <t>เพื่อพิสูจนว.า inorganic impurity เป5นสารใด</t>
  </si>
  <si>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</si>
  <si>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119 (PLE_CC1_2561_Key.md)</t>
  </si>
  <si>
    <t>C-CO-H</t>
  </si>
  <si>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</si>
  <si>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หากผู้ป่วยต้องการ KCl 60 mEq/day จะต้องให้ KCl ความเข้มข้น 74.5 g/L กี่มิลลิลิตร (ก้าหนดให้ MW ของ KCl = 74.5 g/mol)</t>
  </si>
  <si>
    <t>15 ml</t>
  </si>
  <si>
    <t>30 ml</t>
  </si>
  <si>
    <t>45 ml</t>
  </si>
  <si>
    <t>60 ml</t>
  </si>
  <si>
    <t>75 ml</t>
  </si>
  <si>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</si>
  <si>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68 (PLE_CC1_2559.md)</t>
  </si>
  <si>
    <t>หากผู้ป่วยต้องรักษาภาวะ secondary hyperthyroid ต้องได้ยาใด</t>
  </si>
  <si>
    <t>Vitamin A</t>
  </si>
  <si>
    <t>Vitamin B</t>
  </si>
  <si>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</si>
  <si>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51 (PLE_CC1_2558_Key.md)</t>
  </si>
  <si>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</si>
  <si>
    <t>Aqueous acid-base titration</t>
  </si>
  <si>
    <t>Complexation titration</t>
  </si>
  <si>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</si>
  <si>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98 (Pharmtutor_2024_Set1.md)</t>
  </si>
  <si>
    <t>จากสมการเคมีที่กำหนด เป็นการไทเทรตแบบใด 2HNO3 + CaCO3 ―&gt; Ca(NO3)2 + CO2 + H2O HNO3 + NaOH ―&gt; NaNO3 + H2O</t>
  </si>
  <si>
    <t>Back acid-base titration</t>
  </si>
  <si>
    <t>Indirect acid-base titration</t>
  </si>
  <si>
    <t>Back precipitation titration</t>
  </si>
  <si>
    <t>Indirect precipitation titration Azithromycin is white crystalline powder. mp: 126 อC soluble in ethanol and DSMO, minimally soluble in water</t>
  </si>
  <si>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</si>
  <si>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99 (Pharmtutor_2024_Set1.md)</t>
  </si>
  <si>
    <t>จากปฏิกิริยาการหาปริมาณ Ferrous(II) ด้วยวิธีการไตไตรทที่กำหนดให้ ข้อใดคือชนิดของการไตเตรทที่ถูกต้อง 2FeSO4 + 2Ce(SO4)2 → Fe2(SO4)3 + Ce2(SO4)3</t>
  </si>
  <si>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</si>
  <si>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94 (Pharmtutor_2024_Set2.md)</t>
  </si>
  <si>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</si>
  <si>
    <t>Direct Acid-Base Titration</t>
  </si>
  <si>
    <t>Back Acid-Base Titration</t>
  </si>
  <si>
    <t>Redox Titration (Iodometry)</t>
  </si>
  <si>
    <t>Complexometric Titration (EDTA)</t>
  </si>
  <si>
    <t>Precipitation Titration (Mohr method)</t>
  </si>
  <si>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</si>
  <si>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69 (PLE_CC1_2557.md)</t>
  </si>
  <si>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</si>
  <si>
    <t>Volhard Titration method</t>
  </si>
  <si>
    <t>Fajans Adsorption Indicator method</t>
  </si>
  <si>
    <t>Potentiometric End-point Titration</t>
  </si>
  <si>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</si>
  <si>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70 (PLE_CC1_2557.md)</t>
  </si>
  <si>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</si>
  <si>
    <t>Biamperometric Titration</t>
  </si>
  <si>
    <t>Nonaqueous Acid-Base Titration</t>
  </si>
  <si>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</si>
  <si>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ต้องการวิเคราะห์ phenazopyridine ควรใช้วิธีใดในการวิเคราะห์</t>
  </si>
  <si>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</si>
  <si>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 (PLE_CC1_2533.md)</t>
  </si>
  <si>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</si>
  <si>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</si>
  <si>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สารใดในตำรับอยู่ในเฟสน้ำ</t>
  </si>
  <si>
    <t>Disodium EDTA</t>
  </si>
  <si>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</si>
  <si>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36 (PLE_CC1_Practice_Exam.md)</t>
  </si>
  <si>
    <t>วัตถุประสงค์หลักของการใช้ non-aqueous acid-base titration คืออะไร</t>
  </si>
  <si>
    <t>การละลายน้ำของสาร</t>
  </si>
  <si>
    <t>ความเข้มข้นของสาร</t>
  </si>
  <si>
    <t>สารทำปฏิกิริยากับน้ำไม่ได้</t>
  </si>
  <si>
    <t>สารทำปฏิกิริยารุนแรงกับน้ำ</t>
  </si>
  <si>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</si>
  <si>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</si>
  <si>
    <t>strong acid/strong base titration</t>
  </si>
  <si>
    <t>weak acid/strong base titraton</t>
  </si>
  <si>
    <t>weak base/strong acid titration</t>
  </si>
  <si>
    <t>non-aqueous titration of weak base</t>
  </si>
  <si>
    <t>non-aqueous titration of weak acid</t>
  </si>
  <si>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</si>
  <si>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ข้อใดกล่าวถูกต้องเกี่ยวกับ Precipitation titration</t>
  </si>
  <si>
    <t>เหมาะสำหรับปฏิกิริยาที่เกิดช้า เพื่อให้สังเกตเห็นการตกตะกอนอย่างช้าๆ</t>
  </si>
  <si>
    <t>อุณหภูมิมีผลต่อการละลายของตะกอน โดยที่อุณหภูมิสูงจะเพิ่มการละลายของตะกอนเสมอ</t>
  </si>
  <si>
    <t>จะเกิดการตกตะกอนเมื่อค่า Q = Ksp</t>
  </si>
  <si>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</si>
  <si>
    <t>ปฏิกิริยาที่มีค่า Ksp สูง จะทำให้หาจุดยุติจาก titration curve ได้ง่าย</t>
  </si>
  <si>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</si>
  <si>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</si>
  <si>
    <t>5000 กรัม</t>
  </si>
  <si>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</si>
  <si>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ไม่ถูกต้องตามหลักการ Analytical Chemistry สำหรับวิธีทดสอบนี้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</si>
  <si>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 (PLE_CC1_Practice_Exam.md)</t>
  </si>
  <si>
    <t>ในการวิเคราะห์ Boric acid ด้วย Direct titration ใส่สารชนิดใดเพื่อให้ form complex กับ metaborate ion</t>
  </si>
  <si>
    <t>Silver nitrate</t>
  </si>
  <si>
    <t>Sodium hydroxide</t>
  </si>
  <si>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</si>
  <si>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</si>
  <si>
    <t>10.01 ml</t>
  </si>
  <si>
    <t>11.21 ml</t>
  </si>
  <si>
    <t>11.52 ml</t>
  </si>
  <si>
    <t>12.71 ml</t>
  </si>
  <si>
    <t>12.98 ml</t>
  </si>
  <si>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</si>
  <si>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</si>
  <si>
    <t>00 หน่วย</t>
  </si>
  <si>
    <t>2 x 105</t>
  </si>
  <si>
    <t>2 x 109</t>
  </si>
  <si>
    <t>2 x 10-5</t>
  </si>
  <si>
    <t>2 x 10-9</t>
  </si>
  <si>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</si>
  <si>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</si>
  <si>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</si>
  <si>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ไม่ถูกต้องตามหลักการ Analytical Chemistry สำหรับวิธีทดสอบนี้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</si>
  <si>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</si>
  <si>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</si>
  <si>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Sodium metabisulfite + EDTA</t>
  </si>
  <si>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</si>
  <si>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ข้อมูลวิธีวิเคราะห์: ใช้สาร percloric acid(HCLO4) เป็น tritrant และใช้ Potentiometry .... การวิเคราะห์ยา ketoconazole ใช้วิธีใด</t>
  </si>
  <si>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</si>
  <si>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57 (PLE_CC1_Key_Rx20_UBU.md)</t>
  </si>
  <si>
    <t>Complexometric Titrations ใช้ EDTA เป็น titrant</t>
  </si>
  <si>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</si>
  <si>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Redox titration ใช้พวก KMnO4, I2, FeSO4 เป็น titrant</t>
  </si>
  <si>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</si>
  <si>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Non-Aqueous acid base titration ใช้กรด (perchloric acid) และเบสเป็น titrant (Sodium methoxide)</t>
  </si>
  <si>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</si>
  <si>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Precipitation titration ใช้หลัก Ag, Hg, Pb เจอหมู่ 7 ตกตะกอน</t>
  </si>
  <si>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</si>
  <si>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</si>
  <si>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</si>
  <si>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69 (PLE_CC1_Key_Rx20_UBU.md)</t>
  </si>
  <si>
    <t>การวิเคราะห์ FeSO4 ด้วยสารละลาย potassium permanganate (KMnO4) ใช้วิธีวิเคราะห์ใด</t>
  </si>
  <si>
    <t>Oxidation-reduction titration (Redox titration)</t>
  </si>
  <si>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</si>
  <si>
    <t>ข้อ 70 (PLE_CC1_Key_Rx20_UBU.md)</t>
  </si>
  <si>
    <t>ให้สูตรตำรับยาน้ำ paracetamol ประกอบด้วย paracetamol, propylene glycol, glycerin, sodium citrate, citric acid, EDTA จากตำรับ ตัวยา paracetamol ใช้ระบบใดในการละลาย</t>
  </si>
  <si>
    <t>co-solvent</t>
  </si>
  <si>
    <t>complex salt form</t>
  </si>
  <si>
    <t>liposome</t>
  </si>
  <si>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</si>
  <si>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</si>
  <si>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42 (PLE_CC1_Key_Rx20_UBU.md)</t>
  </si>
  <si>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</si>
  <si>
    <t>Residual titration</t>
  </si>
  <si>
    <t>Precipitation titration เหตุผล: มีการเติมด่างเกินพอ ต้มไฮโดรไลซ์ แล้วไตเตรทกรดส่วนเกินกลับ → เป็น Residual (back) titration แบบ acid-base</t>
  </si>
  <si>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</si>
  <si>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Titrimetric Analysis</t>
  </si>
  <si>
    <t>ข้อสอบจริง Product ปี 2566 ข้อ 1</t>
  </si>
  <si>
    <t>(ปี 2566, Day 2 ข้อ 88\) (เรื่อง: วิธี Assay KCl) ให้ Assay ใน Monograph ของ KCl มา (ไตเตรทด้วย silver nitrate, eosin Y indicator)</t>
  </si>
  <si>
    <t>Redox titration เหตุผล: AgNO₃ ทำปฏิกิริยากับ Cl⁻ เกิดตะกอน AgCl เป็น argentometric/precipitation titration (Fajans method ใช้ eosin Y เป็น indicator)</t>
  </si>
  <si>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</si>
  <si>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2566 ข้อ 34</t>
  </si>
  <si>
    <t>สารอะไรออกฤทธิ์ต้าน oxidation ในยาตา</t>
  </si>
  <si>
    <t>perborate</t>
  </si>
  <si>
    <t>BKA</t>
  </si>
  <si>
    <t>EDTA</t>
  </si>
  <si>
    <t>camphor RH</t>
  </si>
  <si>
    <t>PEG Part อื่นๆ</t>
  </si>
  <si>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</si>
  <si>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2565 ข้อ 73</t>
  </si>
  <si>
    <t>ให้สูตรตำรับ ทำ rifampicin suspension จาก rifampicin capsule ข้อใดทำหน้าที่เป็น co-solvent</t>
  </si>
  <si>
    <t>Glycerin, PEG, ascorbic acid</t>
  </si>
  <si>
    <t>Glycerin, PEG, sorbitol solution</t>
  </si>
  <si>
    <t>PEG, ascorbic acid, Saccharin</t>
  </si>
  <si>
    <t>Ascorbic acid, sorbitol solution, EDTA</t>
  </si>
  <si>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</si>
  <si>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</si>
  <si>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2565 ข้อ 54</t>
  </si>
  <si>
    <t>การหาปริมาณ Cl- ในนํ้าเกลือ โดยวิธีการไตเตรชั่นใช้ Ag ที่มากเกินพอ Ag ใช้ Fe3+ เป็นอินดิเคเต่อร์ ใช้วิธีการไตเตรชั่นแบบใด</t>
  </si>
  <si>
    <t>Direct titration ต้อง ไตเตรต Cl⁻ กับ AgNO₃ โดยตรง (เช่น วิธี Mohr)</t>
  </si>
  <si>
    <t>Indirect titration  เป็นการหาสารโดยอ้อม แต่ไม่ได้จำเพาะว่าต้องเติมสารเกินแล้วไตเตรตย้อน</t>
  </si>
  <si>
    <t>Back titration</t>
  </si>
  <si>
    <t>Differentiating titration  ไม่ใช่ชื่อวิธีมาตรฐานในกรณีนี้</t>
  </si>
  <si>
    <t>Redox titration  ไม่ใช่ปฏิกิริยารีดอกซ์ แต่เป็นปฏิกิริยาการเกิดตะกอน (precipitation)</t>
  </si>
  <si>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</si>
  <si>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4</t>
  </si>
  <si>
    <t>สารใดทําให้ตํารับยาตาอยู่ในตาได้นานขึ้น</t>
  </si>
  <si>
    <t>Benzalkonium chloride  เป็นสารกันเสีย (preservative)</t>
  </si>
  <si>
    <t>EDTA  เป็นสารจับโลหะ (chelating agent) ช่วยเพิ่มประสิทธิภาพสารกันเสีย</t>
  </si>
  <si>
    <t>NaCl  ปรับความเป็นไอโซโทนิก (isotonicity)</t>
  </si>
  <si>
    <t>Sodium phosphate  ใช้เป็นสารบัฟเฟอร์ ควบคุมค่า pH</t>
  </si>
  <si>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</si>
  <si>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6</t>
  </si>
  <si>
    <t>การหาปริมาณ ferrous sulfate ใน ferrous sulfate tablets USP โดย titrate ด้วย ceric sulfate ในสารละลายกรด และใช้ orthophenanthroline TS เป็น indicator เป็น titration รูปแบบใด</t>
  </si>
  <si>
    <t>Aqueous acid-base  ไม่ใช่ปฏิกิริยากรด-เบส</t>
  </si>
  <si>
    <t>Non-aqueous acid-base  ไม่ใช่การไตเตรตในตัวทำละลายที่ไม่ใช่น้ำ</t>
  </si>
  <si>
    <t>Precipitation  ไม่มีการเกิดตะกอน</t>
  </si>
  <si>
    <t>Complexation  แม้ orthophenanthroline จะเกิดสารเชิงซ้อนกับ Fe²⁺ แต่หลักการวิเคราะห์คือปฏิกิริยารีดอกซ์</t>
  </si>
  <si>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</si>
  <si>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</si>
  <si>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11</t>
  </si>
  <si>
    <t>จากสูตร nasal spray สารช่วยทางเภสัชกรรมในข้อใดช่วยทําให้ไม่รู้สึกระคายเคืองเวลาใช้ยาพ่นจมูก</t>
  </si>
  <si>
    <t>Carboxymethyl cellulose (CMC)  เพิ่มความหนืด (Viscosity enhancer)</t>
  </si>
  <si>
    <t>Dextrose anhydrous</t>
  </si>
  <si>
    <t>Disodium edetate (EDTA)  เป็น Chelating agent</t>
  </si>
  <si>
    <t>Hydrochloric acid  ใช้ปรับ pH</t>
  </si>
  <si>
    <t>Polysorbate 80 เป็น Surfactant/solubilizer</t>
  </si>
  <si>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</si>
  <si>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31</t>
  </si>
  <si>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</si>
  <si>
    <t>Organic impurities ตรวจสารเจือปนอินทรีย์ ไม่เกี่ยวกับการคำนวณ on dried basis</t>
  </si>
  <si>
    <t>Uniformity of dosage units  ใช้กับผลิตภัณฑ์สำเร็จรูป ไม่ใช่วัตถุดิบ</t>
  </si>
  <si>
    <t>Water determination  ใช้วัดน้ำโดยตรง (เช่น Karl Fischer) แต่เมื่อ monograph ระบุ on dried basis โดยทั่วไปจะอ้างอิง Loss on Drying</t>
  </si>
  <si>
    <t>Dissolution  ใช้กับยาเม็ดหรือแคปซูลสำเร็จรูป PLE\_CC1\_2564\_All\_Key.pdf</t>
  </si>
  <si>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</si>
  <si>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32</t>
  </si>
  <si>
    <t>Aluminium and magnesium suspension ใช้การวิเคราะห์แบบใด (ให้ Assay มา)</t>
  </si>
  <si>
    <t>acid base titration</t>
  </si>
  <si>
    <t>complexation direct titration</t>
  </si>
  <si>
    <t>Complexation back titration</t>
  </si>
  <si>
    <t>Redox back</t>
  </si>
  <si>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</si>
  <si>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</si>
  <si>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52</t>
  </si>
  <si>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</si>
  <si>
    <t>[แนบรูป: ข้อสอบ Product ปี 2564 รหัสรูปภาพ image80]</t>
  </si>
  <si>
    <t>วิธี Direct titration มี Sodium Hydroxide เป็น Titrant</t>
  </si>
  <si>
    <t>วิธี Direct titration มี Sulfuric acid เป็น Titrant</t>
  </si>
  <si>
    <t>วิธี Indirect titration มี Sodium Hydroxide เป็น Titrant</t>
  </si>
  <si>
    <t>วิธี Indirect titration มี Sulfuric acid เป็น Titrant</t>
  </si>
  <si>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</si>
  <si>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</si>
  <si>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69</t>
  </si>
  <si>
    <t>1 ml 0.1 N perchloric acid \= ... mg salbutamol sulfate (MW 576.70)</t>
  </si>
  <si>
    <t>[แนบรูป: ข้อสอบ Product ปี 2564 รหัสรูปภาพ image81]</t>
  </si>
  <si>
    <t>287.35</t>
  </si>
  <si>
    <t>576.7</t>
  </si>
  <si>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</si>
  <si>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</si>
  <si>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79</t>
  </si>
  <si>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</si>
  <si>
    <t>Acid-base aqueous titration</t>
  </si>
  <si>
    <t>Acid base non aqueous titration</t>
  </si>
  <si>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</si>
  <si>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</si>
  <si>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85</t>
  </si>
  <si>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</si>
  <si>
    <t>Non aqueous</t>
  </si>
  <si>
    <t>Precipitater</t>
  </si>
  <si>
    <t>Complexation</t>
  </si>
  <si>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</si>
  <si>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</si>
  <si>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91</t>
  </si>
  <si>
    <t>ส่วนประกอบกับหน้าที่ของสารเคลือบฟิล์มของ ferrous sulfate</t>
  </si>
  <si>
    <t>Complexometric titrate</t>
  </si>
  <si>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</si>
  <si>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</si>
  <si>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112</t>
  </si>
  <si>
    <t>จากสูตรตำรับ benzoyl peroxide emulgel: carbopol 940, benzoyl peroxide, olive oil, PEG, MP+PP, disodium EDTA, PW, BHT ยาไม่คงตัวที่ pH \&gt; 4.5 ตำรับขุ่นจะปรับตำรับอย่างไรให้ใส</t>
  </si>
  <si>
    <t>เพิ่ม NaOH ❌ ปรับ pH ให้ carbopol เกิดเจล แต่ไม่แก้ความขุ่น และ pH สูงทำให้ benzoyl peroxide ไม่คงตัว</t>
  </si>
  <si>
    <t>เติม Tween 20 ✅ เป็น surfactant ช่วย solubilize และเพิ่มความใส</t>
  </si>
  <si>
    <t>เติม Span 60 ❌ เป็น lipophilic surfactant เหมาะกับ W/O ไม่ช่วยให้ใส</t>
  </si>
  <si>
    <t>ลด phase oil ❌ อาจช่วยลดความขุ่น แต่เปลี่ยนสูตรและไม่ใช่วิธีหลัก</t>
  </si>
  <si>
    <t>เพิ่ม BHT ❌ เป็น antioxidant ป้องกัน oxidation ไม่เกี่ยวกับความใส</t>
  </si>
  <si>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</si>
  <si>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125</t>
  </si>
  <si>
    <t>Emulsifying agent ในตำรับข้างต้นคืออะไร</t>
  </si>
  <si>
    <t>NaOH ❌ ปรับ pH / neutralize carbopol</t>
  </si>
  <si>
    <t>Sodium oleate ✅ Emulsifier (soap-type surfactant)</t>
  </si>
  <si>
    <t>EDTA ❌ Chelating agent จับโลหะ ช่วยเพิ่มความคงตัว</t>
  </si>
  <si>
    <t>Olive oil ❌ Oil phase / emollient</t>
  </si>
  <si>
    <t>Carbopol ❌ Gelling agent เพิ่มความหนืด</t>
  </si>
  <si>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</si>
  <si>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126</t>
  </si>
  <si>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</si>
  <si>
    <t>Oxidation-reaction titration</t>
  </si>
  <si>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</si>
  <si>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</si>
  <si>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148</t>
  </si>
  <si>
    <t>สารใดช่วยในการป้องกันการเกิดปฏิกิริยาออกซิเดชันในยาหยอดตา</t>
  </si>
  <si>
    <t>Perchlorates ❌ ไม่ใช้เป็นสารป้องกัน oxidation</t>
  </si>
  <si>
    <t>Cremophor RH ❌ เป็น solubilizer/surfactant</t>
  </si>
  <si>
    <t>Polyethylene glycol ❌ เป็น cosolvent/vehicle</t>
  </si>
  <si>
    <t>Benzalkonium chloride ❌ เป็น preservative</t>
  </si>
  <si>
    <t>EDTA ✅ Chelating agent ช่วยป้องกัน oxidation โดยจับโลหะ</t>
  </si>
  <si>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</si>
  <si>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149</t>
  </si>
  <si>
    <t>จากการวิเคราะห์ NaCl ด้วย silver nitrate เป็นการวิเคราะห์แบบใด [แนบรูป: ข้อสอบ Product ปี 2564 รหัสรูปภาพ image90]</t>
  </si>
  <si>
    <t>[แนบรูป: ข้อสอบ Product ปี 2564 รหัสรูปภาพ image90]</t>
  </si>
  <si>
    <t>Karl fisher</t>
  </si>
  <si>
    <t>Acid base titration</t>
  </si>
  <si>
    <t>Complexometric titration คำอธิบาย: AgNO₃ ทำปฏิกิริยากับ Cl⁻ เกิดตะกอน AgCl จึงเป็น การไทเทรตแบบตกตะกอน (Precipitation titration) Ag+ \+ Cl− → AgCl↓</t>
  </si>
  <si>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</si>
  <si>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2564 ข้อ 154</t>
  </si>
  <si>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</si>
  <si>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</si>
  <si>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</si>
  <si>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2563 ข้อ 1</t>
  </si>
  <si>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</si>
  <si>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</si>
  <si>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</si>
  <si>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2563 ข้อ 3</t>
  </si>
  <si>
    <t>1 ml 0.1 N perchloric acid \= ... mg salbutamol sulfate (MW=576.70) ต้นฉบับ: Day 2 ข้อ 80</t>
  </si>
  <si>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</si>
  <si>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</si>
  <si>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2563 ข้อ 5</t>
  </si>
  <si>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</si>
  <si>
    <t>Acid-base non-aqueous titration</t>
  </si>
  <si>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</si>
  <si>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</si>
  <si>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2563 ข้อ 6</t>
  </si>
  <si>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</si>
  <si>
    <t>Binder</t>
  </si>
  <si>
    <t>Lubricant</t>
  </si>
  <si>
    <t>Disintegrant</t>
  </si>
  <si>
    <t>Soluble diluents</t>
  </si>
  <si>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</si>
  <si>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</si>
  <si>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2562 ข้อ 4</t>
  </si>
  <si>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</si>
  <si>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</si>
  <si>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5</t>
  </si>
  <si>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</si>
  <si>
    <t>เพิ่ม NaOH</t>
  </si>
  <si>
    <t>เติม Span 60</t>
  </si>
  <si>
    <t>เติม Tween 20</t>
  </si>
  <si>
    <t>ลดวัฏภาคน้ำมัน</t>
  </si>
  <si>
    <t>เพิ่มปริมาณ BHT</t>
  </si>
  <si>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</si>
  <si>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19</t>
  </si>
  <si>
    <t>EDTA ในตำรับข้างต้นทำหน้าที่อะไร</t>
  </si>
  <si>
    <t>pH adjusting agent</t>
  </si>
  <si>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</si>
  <si>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20</t>
  </si>
  <si>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</si>
  <si>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</si>
  <si>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55</t>
  </si>
  <si>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</si>
  <si>
    <t>14.59</t>
  </si>
  <si>
    <t>29.98</t>
  </si>
  <si>
    <t>15.9</t>
  </si>
  <si>
    <t>1450</t>
  </si>
  <si>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</si>
  <si>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69</t>
  </si>
  <si>
    <t>05 M edetate disodium VS until the solution is deep blue. Each mL of 0.05 M edetate disodium is equivalent to 5.004 mg of calcium carbonate (CaCO3)</t>
  </si>
  <si>
    <t>NaOH ใช้ช่วยละลาย CaCO3</t>
  </si>
  <si>
    <t>CaCO3 ต้องถูกเปลี่ยนเป็น CaCl2 ก่อน</t>
  </si>
  <si>
    <t>การวิเคราะห์นี้จัดเป็น direct titration</t>
  </si>
  <si>
    <t>ใช้เทคนิค complexometric titration</t>
  </si>
  <si>
    <t>สารละลายอยู่ในภาวะด่างระหว่างการ Titration</t>
  </si>
  <si>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</si>
  <si>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0</t>
  </si>
  <si>
    <t>จากสูตรตำรับยา - Steroid A - Steric acid - Cetyl alcohol - Butylated hydroxytoluene - Carbomer 934 - Glycerine - Water - EDTA - Paraben concentration - Triethanolamine ข้อใดเป็น emulsifying agent ในตำรับ</t>
  </si>
  <si>
    <t>Steric acid</t>
  </si>
  <si>
    <t>Triethanolamine acetate</t>
  </si>
  <si>
    <t>Triethanolamine stearate</t>
  </si>
  <si>
    <t>Butylated hydroxytoluene</t>
  </si>
  <si>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</si>
  <si>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87</t>
  </si>
  <si>
    <t>หากในการเคลือบฟิล์ม พบฟิล์มหลุดล่อน ควรเติมสารใดเพิ่มในน้ำยาเคลือบ</t>
  </si>
  <si>
    <t>Talc</t>
  </si>
  <si>
    <t>Polyethylene glycol</t>
  </si>
  <si>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</si>
  <si>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2561 ข้อ 106</t>
  </si>
  <si>
    <t>Titration ของ aspirin คือแบบไหน</t>
  </si>
  <si>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</si>
  <si>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2559 ข้อ 18</t>
  </si>
  <si>
    <t>จากการวิเคราะห์หาปริมาณยา aspirin ดัง monograph จัดเป็นการ titration แบบใด</t>
  </si>
  <si>
    <t>Indirect titration</t>
  </si>
  <si>
    <t>Complexometrix titration</t>
  </si>
  <si>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</si>
  <si>
    <t>ข้อสอบจริง Product ปี 2559 ข้อ 16</t>
  </si>
  <si>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</si>
  <si>
    <t>Atomic Absorption Spectroscopy (AAS; สเปกโทรสโกปีการดูดกลืนแสงของอะตอม)</t>
  </si>
  <si>
    <t>High-Performance Liquid Chromatography ควบคู่กับ UV detector (HPLC-UV)</t>
  </si>
  <si>
    <t>Liquid Chromatography-Mass Spectrometry (LC-MS)</t>
  </si>
  <si>
    <t>Fourier Transform Infrared Spectroscopy (FT-IR)</t>
  </si>
  <si>
    <t>UV-Vis Spectrophotometry</t>
  </si>
  <si>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</si>
  <si>
    <t>Analytical Method Development &amp; QC</t>
  </si>
  <si>
    <t>ข้อสอบ Product (Febuxostat Analysis)</t>
  </si>
  <si>
    <t>Chromatography</t>
  </si>
  <si>
    <t>Mock PLE-CC 1 ข้อ 10</t>
  </si>
  <si>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</si>
  <si>
    <t>Inductively Coupled Plasma Optical Emission Spectrometry (ICP-OES) หรือ AAS</t>
  </si>
  <si>
    <t>Fourier Transform Infrared Spectroscopy (FTIR)</t>
  </si>
  <si>
    <t>Thin Layer Chromatography (TLC)</t>
  </si>
  <si>
    <t>High-Performance Liquid Chromatography with UV detector (HPLC-UV)</t>
  </si>
  <si>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</si>
  <si>
    <t>Food &amp; Elemental Analysis</t>
  </si>
  <si>
    <t>ข้อสอบ Product (Sodium Analysis in Foods)</t>
  </si>
  <si>
    <t>Mock PLE-CC 1 ข้อ 21</t>
  </si>
  <si>
    <t>ในกระบวนการผลิตชีวเภสัชภัณฑ์ (Biopharmaceuticals เช่น Monoclonal Antibodies หรือ Recombinant Proteins) ขั้นตอนในข้อใดต่อไปนี้จัดเป็นกระบวนการต้นน้ำ (Upstream processing)</t>
  </si>
  <si>
    <t>การเพาะเลี้ยงเซลล์ภายในถังหมักชีวภาพ (Cell culture and fermentation in bioreactor) เพื่อผลิตโปรตีนเป้าหมาย</t>
  </si>
  <si>
    <t>การทำให้โปรตีนบริสุทธิ์ด้วยคอลัมน์โครมาโทกราฟี (Affinity chromatography purification เช่น Protein A chromatography)</t>
  </si>
  <si>
    <t>การกรองกำจัดไวรัสและการกรองแบบละเอียดระดับนาโน (Viral filtration &amp; Ultrafiltration/Diafiltration)</t>
  </si>
  <si>
    <t>การเตรียมสูตรตำรับและการผสมสารช่วย (Formulation development &amp; Sterile filtration)</t>
  </si>
  <si>
    <t>การบรรจุยาลงในภาชนะบรรจุสุดท้ายแบบปราศจากเชื้อ (Aseptic fill and finish)</t>
  </si>
  <si>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</si>
  <si>
    <t>Biotechnology &amp; Upstream Process</t>
  </si>
  <si>
    <t>ข้อสอบ Product (Biologics Upstream vs Downstream)</t>
  </si>
  <si>
    <t>Mock PLE-CC 1 ข้อ 78</t>
  </si>
  <si>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</si>
  <si>
    <t>Inductively Coupled Plasma Spectroscopy (ICP-OES / ICP-MS)</t>
  </si>
  <si>
    <t>Fourier Transform Infrared Spectroscopy (FTIR) เทียบกับสารมาตรฐาน</t>
  </si>
  <si>
    <t>High-Performance Liquid Chromatography (HPLC) โดยเปรียบเทียบ Retention time กับสารมาตรฐาน</t>
  </si>
  <si>
    <t>Liquid Chromatography-Mass Spectrometry (LC-MS) ตรวจวัด Molecular ion m/z</t>
  </si>
  <si>
    <t>Thin Layer Chromatography (TLC) โดยเปรียบเทียบค่า Rf และสีของจุดสาร</t>
  </si>
  <si>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</si>
  <si>
    <t>Identification of Organic Drugs</t>
  </si>
  <si>
    <t>ข้อสอบ Product (Ethinyl Estradiol ID Tests)</t>
  </si>
  <si>
    <t>Mock PLE-CC 1 ข้อ 92</t>
  </si>
  <si>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</si>
  <si>
    <t>Linearity: กำหนดช่วงความเข้มข้นของการทดสอบความเป็นเส้นตรงแคบเกินไปเพียง 95%, 105%, และ 110% ของ Label claim</t>
  </si>
  <si>
    <t>Specificity: ประเมินความจำเพาะโดยทำการทดสอบ Forced Degradation Studies (สภาวะกรด, ด่าง, ความร้อน, แสง, ออกซิไดซ์)</t>
  </si>
  <si>
    <t>Precision: ประเมินทั้ง Repeatability และ Intermediate precision พร้อมกำหนดเกณฑ์การยอมรับ %RSD ไม่เกิน 2.0%</t>
  </si>
  <si>
    <t>Accuracy: ประเมินโดยการเติมสารมาตรฐานลงในสูตรยาจำลองที่ไม่มีตัวยา (Placebo spike recovery) ที่ 80%, 100%, และ 120% ของความเข้มข้นเป้าหมาย</t>
  </si>
  <si>
    <t>Robustness: ประเมินความคงทนของวิธีโดยการจงใจปรับเปลี่ยนสัดส่วน Mobile phase เล็กน้อย (±2%) และอุณหภูมิคอลัมน์ (±5 °C)</t>
  </si>
  <si>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</si>
  <si>
    <t>Analytical Method Validation (ICH Q2)</t>
  </si>
  <si>
    <t>ข้อสอบ Product (HPLC Validation Linearity Protocol)</t>
  </si>
  <si>
    <t>Mock PLE-CC 1 ข้อ 116</t>
  </si>
  <si>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</si>
  <si>
    <t>Retention time ลดลง เนื่องจากสัดส่วน Organic phase เพิ่มขึ้น ทำให้ความแรงในการชะ (Elution strength) สูงขึ้น สารจึงถูกชะออกจากคอลัมน์เร็วขึ้น</t>
  </si>
  <si>
    <t>Retention time เพิ่มขึ้น เนื่องจาก Organic phase เพิ่มขึ้น ทำให้สารเกิดอันตรกิริยากับ Stationary phase แน่นหนาขึ้น</t>
  </si>
  <si>
    <t>Retention time ไม่เปลี่ยนแปลง เนื่องจากสัดส่วนของสารละลายบัฟเฟอร์ไม่มีผลต่อการชะของยาในระบบ Reversed-phase</t>
  </si>
  <si>
    <t>Retention time เพิ่มขึ้น เนื่องจากยา Amitriptyline แตกตัวเป็นอิสระ (Unionized) มากขึ้น</t>
  </si>
  <si>
    <t>ไม่สามารถทำนายผลได้ เนื่องจากขึ้นอยู่กับอัตราการไหล (Flow rate) เพียงอย่างเดียว</t>
  </si>
  <si>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</si>
  <si>
    <t>Reversed-Phase HPLC</t>
  </si>
  <si>
    <t>ข้อสอบ Product (RP-HPLC Mobile Phase Elution Strength)</t>
  </si>
  <si>
    <t>Mock PLE-CC 1 ข้อ 117</t>
  </si>
  <si>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</si>
  <si>
    <t>ไม่ผ่านเกณฑ์มาตรฐาน เนื่องจาก Guanine คิดเป็น 2.5% (เกินเกณฑ์ 2.0%) และสิ่งเจือปนอื่นคิดเป็น 1.0% (เกินเกณฑ์ 0.5%)</t>
  </si>
  <si>
    <t>ผ่านเกณฑ์มาตรฐาน เนื่องจาก Guanine และสิ่งเจือปนอื่นมีปริมาณรวมกันน้อยกว่า 5.0%</t>
  </si>
  <si>
    <t>ผ่านเกณฑ์มาตรฐาน เนื่องจาก Acyclovir มีความบริสุทธิ์สูงถึง 96.5%</t>
  </si>
  <si>
    <t>ไม่ผ่านเกณฑ์มาตรฐาน เนื่องจาก Guanine เกินเกณฑ์เพียงตัวเดียว แต่สิ่งเจือปนอื่นผ่านเกณฑ์</t>
  </si>
  <si>
    <t>ไม่สามารถสรุปผลได้เนื่องจากต้องทราบความกว้างของพีค (Peak width) ก่อน</t>
  </si>
  <si>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</si>
  <si>
    <t>Chromatographic Purity &amp; Related Substances</t>
  </si>
  <si>
    <t>ข้อสอบจริง PLE CC 1 (Acyclovir Guanine Impurity)</t>
  </si>
  <si>
    <t>Mock PLE-CC 1 ข้อ 127</t>
  </si>
  <si>
    <t>ภายหลังแพทย์มีการจ่ายยา Trazodone ให้ โดยมีข้อระวังเรื่องหน้ามืดเวลาขยับท่าทาง ถามว่าอาการนี้เกิด จากการยับยั้ง receptor ในข้อใด</t>
  </si>
  <si>
    <t>alpha-1 receptor</t>
  </si>
  <si>
    <t>5-HT2A</t>
  </si>
  <si>
    <t>M1 receptor</t>
  </si>
  <si>
    <t>H1 receptor</t>
  </si>
  <si>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</si>
  <si>
    <t>HPLC (Liquid Chromatography)</t>
  </si>
  <si>
    <t>PLE_CC1_2567_Key ข้อ 22</t>
  </si>
  <si>
    <t>Beta-2 receptor</t>
  </si>
  <si>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</si>
  <si>
    <t>12 นาที</t>
  </si>
  <si>
    <t>5 นาที</t>
  </si>
  <si>
    <t>8 นาที</t>
  </si>
  <si>
    <t>10 นาที</t>
  </si>
  <si>
    <t>2.4 นาที</t>
  </si>
  <si>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</si>
  <si>
    <t>HPLC Method Parameters</t>
  </si>
  <si>
    <t>ข้อสอบจริง PLE CC 1 ปี 2567 ข้อ 5</t>
  </si>
  <si>
    <t>PLE_CC1_2567_Key ข้อ 23</t>
  </si>
  <si>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</si>
  <si>
    <t>ผ่านเกณฑ์ยอมรับ เนื่องจากคำนวณได้ N = 8,864 (ซึ่ง &gt; 8,000)</t>
  </si>
  <si>
    <t>ไม่ผ่านเกณฑ์ยอมรับ เนื่องจากคำนวณได้ N = 4,432 (ซึ่ง &lt; 8,000)</t>
  </si>
  <si>
    <t>ผ่านเกณฑ์ยอมรับ เนื่องจากคำนวณได้ N = 11,080 (ซึ่ง &gt; 8,000)</t>
  </si>
  <si>
    <t>ไม่ผ่านเกณฑ์ยอมรับ เนื่องจากคำนวณได้ N = 2,216 (ซึ่ง &lt; 8,000)</t>
  </si>
  <si>
    <t>ไม่สามารถสรุปได้เนื่องจากต้องทราบค่า Peak tailing factor (T) ก่อน</t>
  </si>
  <si>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</si>
  <si>
    <t>System Suitability (Theoretical Plates)</t>
  </si>
  <si>
    <t>ข้อสอบ Product (Column Efficiency N Calculation)</t>
  </si>
  <si>
    <t>PLE_CC1_2565_Day1_Key ข้อ 87</t>
  </si>
  <si>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</si>
  <si>
    <t>สาร C &lt; สาร B &lt; สาร A (สาร C มีค่า Rf ต่ำที่สุด และ สาร A มีค่า Rf สูงที่สุด)</t>
  </si>
  <si>
    <t>สาร A &lt; สาร B &lt; สาร C</t>
  </si>
  <si>
    <t>สาร B &lt; สาร C &lt; สาร A</t>
  </si>
  <si>
    <t>สาร A &lt; สาร C &lt; สาร B</t>
  </si>
  <si>
    <t>สารทั้งสามมีค่า Rf เท่ากันเนื่องจากมีโครงสร้างหลักเป็น Metronidazole เหมือนกัน</t>
  </si>
  <si>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</si>
  <si>
    <t>ข้อสอบจริง PLE CC 1 ปี 2559 (TLC Polarity &amp; Rf)</t>
  </si>
  <si>
    <t>PLE_CC1_2565_Day2_Key ข้อ 65</t>
  </si>
  <si>
    <t>ตามเภสัชตำรับ USP &lt;621&gt; Chromatography กำหนดให้ใช้คอลัมน์ชนิด Packing L1 ข้อใดต่อไปนี้กล่าวไม่ถูกต้อง</t>
  </si>
  <si>
    <t>จัดเป็นการแยกในระบบ Normal-Phase Chromatography</t>
  </si>
  <si>
    <t>เฟสคงที่ (Stationary phase) คือ Octadecyl silane (C18) บน silica support</t>
  </si>
  <si>
    <t>สารที่มีขั้วสูงกว่าจะถูกชะออกจากคอลัมน์ออกมาก่อนสารไม่มีขั้ว</t>
  </si>
  <si>
    <t>การเพิ่มสัดส่วนตัวทำละลายอินทรีย์ในเฟสเคลื่อนที่จะลดเวลา Retention time ลง</t>
  </si>
  <si>
    <t>เป็นระบบโครมาโทกราฟีของเหลวสมรรถนะสูงชนิด Reversed-Phase</t>
  </si>
  <si>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</si>
  <si>
    <t>HPLC Column Specifications</t>
  </si>
  <si>
    <t>ข้อสอบเก่า 2561 ข้อ 107</t>
  </si>
  <si>
    <t>ข้อสอบเก่า</t>
  </si>
  <si>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</si>
  <si>
    <t>High Performance Liquid Chromatography (HPLC)</t>
  </si>
  <si>
    <t>Gas Chromatography (GC)</t>
  </si>
  <si>
    <t>Mass Spectrometry (MS)</t>
  </si>
  <si>
    <t>Direct UV-Visible Spectrophotometry</t>
  </si>
  <si>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</si>
  <si>
    <t>Monograph Assay &amp; HPLC</t>
  </si>
  <si>
    <t>ข้อสอบเก่า / เภสัชตำรับ USP</t>
  </si>
  <si>
    <t>USP</t>
  </si>
  <si>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</si>
  <si>
    <t>9.6</t>
  </si>
  <si>
    <t>4.8</t>
  </si>
  <si>
    <t>0.625</t>
  </si>
  <si>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</si>
  <si>
    <t>System Suitability (Resolution)</t>
  </si>
  <si>
    <t>ข้อสอบ Product (HPLC Resolution Calculation)</t>
  </si>
  <si>
    <t>ข้อ 125 (PLE_CC1_2561_Key.md)</t>
  </si>
  <si>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</si>
  <si>
    <t>1 peak</t>
  </si>
  <si>
    <t>2 peaks</t>
  </si>
  <si>
    <t>3 peaks</t>
  </si>
  <si>
    <t>5 peaks</t>
  </si>
  <si>
    <t>7 peaks</t>
  </si>
  <si>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</si>
  <si>
    <t>HPLC Detectors &amp; Chromophores</t>
  </si>
  <si>
    <t>ข้อสอบเก่า 2560 ข้อ 6 / RxCU73</t>
  </si>
  <si>
    <t>2560</t>
  </si>
  <si>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</si>
  <si>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</si>
  <si>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</si>
  <si>
    <t>Polarimeter</t>
  </si>
  <si>
    <t>Nuclear Magnetic Resonance (NMR) ธรรมดา</t>
  </si>
  <si>
    <t>Reversed-Phase HPLC ทั่วไป (Achiral column)</t>
  </si>
  <si>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</si>
  <si>
    <t>Optical Activity &amp; Chiral Separation</t>
  </si>
  <si>
    <t>ข้อสอบเก่า / เภสัชวิเคราะห์</t>
  </si>
  <si>
    <t>RxCU</t>
  </si>
  <si>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</si>
  <si>
    <t>สารตัวอย่างยา A มีปริมาณความเข้มข้นเท่ากับสารมาตรฐาน</t>
  </si>
  <si>
    <t>สารตัวอย่างยา A เป็นสารคนละชนิดกับสารมาตรฐาน</t>
  </si>
  <si>
    <t>สารตัวอย่างยา A เป็นสารสลายตัว (By-product) ของสารมาตรฐาน</t>
  </si>
  <si>
    <t>สารตัวอย่างยา A และสารมาตรฐานใช้เวลาอยู่ในคอลัมน์เท่ากัน</t>
  </si>
  <si>
    <t>สารตัวอย่างยา A มีความชอบพอกับเฟสคงที่ในคอลัมน์มากกว่าสารมาตรฐาน</t>
  </si>
  <si>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</si>
  <si>
    <t>Chromatographic Principles &amp; Interpretation</t>
  </si>
  <si>
    <t>ข้อสอบเก่า 2561 ข้อ 31</t>
  </si>
  <si>
    <t>จาก spectrum ของ nicotine ที่กำหนดให้ สามารถแสดงถึงข้อมูลใดได้บ้าง</t>
  </si>
  <si>
    <t>Plane polarized light</t>
  </si>
  <si>
    <t>Molecular weight</t>
  </si>
  <si>
    <t>ชนิดของ functional group</t>
  </si>
  <si>
    <t>ตำแหน่งของ functional group</t>
  </si>
  <si>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</si>
  <si>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88 (Pharmtutor_2024_Set2.md)</t>
  </si>
  <si>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</si>
  <si>
    <t>ปรับ pH ของ Mobile phase ให้เป็นด่างจัดที่ pH 11.8</t>
  </si>
  <si>
    <t>เติม Triethylamine (TEA) 0.1% หรือปรับ pH สู่กรดอ่อน (pH 2.5-3.0) เพื่อลดอันตรกิริยากับ Silanols</t>
  </si>
  <si>
    <t>เปลี่ยนตัวทำละลายทั้งหมดเป็น Acetonitrile บริสุทธิ์</t>
  </si>
  <si>
    <t>ลดความยาวของ Analytical column ลงครึ่งหนึ่ง</t>
  </si>
  <si>
    <t>เพิ่มอัตราการไหล (Flow rate) ของ Mobile phase เป็นสองเท่า</t>
  </si>
  <si>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</si>
  <si>
    <t>HPLC Troubleshooting &amp; Peak Tailing</t>
  </si>
  <si>
    <t>ข้อสอบเก่า 2557 ข้อ 12</t>
  </si>
  <si>
    <t>2557</t>
  </si>
  <si>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</si>
  <si>
    <t>7.5</t>
  </si>
  <si>
    <t>12.0</t>
  </si>
  <si>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</si>
  <si>
    <t>Chromatographic Resolution Calculation</t>
  </si>
  <si>
    <t>ข้อสอบเก่า 2561 ข้อ 40</t>
  </si>
  <si>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</si>
  <si>
    <t>Liquid Chromatography-Tandem Mass Spectrometry (LC-MS/MS)</t>
  </si>
  <si>
    <t>Polarimetry</t>
  </si>
  <si>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</si>
  <si>
    <t>Bioanalytical Methods &amp; LC-MS</t>
  </si>
  <si>
    <t>ข้อสอบเตรียมสอบเภสัช</t>
  </si>
  <si>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</si>
  <si>
    <t>9.9 mg/mL</t>
  </si>
  <si>
    <t>99.0 mg/mL</t>
  </si>
  <si>
    <t>49.5 mg/mL</t>
  </si>
  <si>
    <t>19.8 mg/mL</t>
  </si>
  <si>
    <t>0.99 mg/mL</t>
  </si>
  <si>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</si>
  <si>
    <t>Internal Standard Quantitation</t>
  </si>
  <si>
    <t>ข้อสอบเก่า 2558 / 2560</t>
  </si>
  <si>
    <t>จากโครงสร้างของ Levodopa ปัจจัยใดที่ไม่ส่งผลต่อ retention time ของ Levodopa จากการวิเคราะห์ด้วยเทคนิค HPLC</t>
  </si>
  <si>
    <t>Gas Chromatography with FID detector</t>
  </si>
  <si>
    <t>Ion-Exchange Chromatography (IEC)</t>
  </si>
  <si>
    <t>Size Exclusion Chromatography (SEC)</t>
  </si>
  <si>
    <t>Chiral HPLC Separation Column</t>
  </si>
  <si>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</si>
  <si>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 (PLE_CC1_2533.md)</t>
  </si>
  <si>
    <t>ความยาวของ column</t>
  </si>
  <si>
    <t>HILIC (Hydrophilic Interaction LC)</t>
  </si>
  <si>
    <t>Ultra-High Performance LC (UHPLC)</t>
  </si>
  <si>
    <t>GC-Mass Spectrometry (GC-MS)</t>
  </si>
  <si>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</si>
  <si>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pH ของ mobile phase</t>
  </si>
  <si>
    <t>Normal-Phase HPLC (Silica column)</t>
  </si>
  <si>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</si>
  <si>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</si>
  <si>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</si>
  <si>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</si>
  <si>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</si>
  <si>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</si>
  <si>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</si>
  <si>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เทคนิคทางโครมาโตรกราฟีใดต่อไปนี้สามารถแยกความแตกต่างระหว่าง theophylline และ caffeine ได้ caffeine theophylline</t>
  </si>
  <si>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</si>
  <si>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</si>
  <si>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</si>
  <si>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</si>
  <si>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</si>
  <si>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</si>
  <si>
    <t>ผิด อนุภาคของวัฏภาคกระจายตัวเป็นของเหลว</t>
  </si>
  <si>
    <t>ผิด ต้องใช้พลังงานเพื่อกระจายอนุภาตของวัฏภาคกระจายตัวออกจากกัน</t>
  </si>
  <si>
    <t>ผิด ประกอบด้วยสองวัฏภาคที่ไม่ผสมเข้ากัน</t>
  </si>
  <si>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</si>
  <si>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</si>
  <si>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ข้อใดถูกต้องเกี่ยวกับ Infrared Spectroscopy</t>
  </si>
  <si>
    <t>น้ำมีค่า Fundamental vibration เท่ากับ 2</t>
  </si>
  <si>
    <t>แก๊สคาร์บอนไดออกไซด์มีค่า Fundamental vibration เท่ากับ 3</t>
  </si>
  <si>
    <t>เซลล์ตัวอย่างควรมีลักษณะโปร่งใสและไม่ดูดกลืนรังสีอินฟราเรดช่วงเดียวกับตัวอย่าง เช่น เกลือของแัไลด์</t>
  </si>
  <si>
    <t>สารประกอบกลุ่มไนโตรจะมี wavenumber มากกว่าไนไทรล์</t>
  </si>
  <si>
    <t>ข้อ ค. และ ง. ถูก</t>
  </si>
  <si>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</si>
  <si>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จงหา pH ของสารละลายที่ประกอบด้วย urea 42% w/v (กำหนดให้ Kb = 1.5x10-14 , MW of Urea = 60 g/mol)</t>
  </si>
  <si>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</si>
  <si>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C18 column ใช้เป็น stationary phase ใน HPLC ประเภทใด</t>
  </si>
  <si>
    <t>Nornal phase HPLC</t>
  </si>
  <si>
    <t>Reverse phase HPLC</t>
  </si>
  <si>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</si>
  <si>
    <t>Ion-exchange HPLC</t>
  </si>
  <si>
    <t>Carbon-exclusion HPLC</t>
  </si>
  <si>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HPLC แยก compounds ด้วย stationary phase และ mobile phase ความละเอียดขึ้นกับ selectivity, efficiency (N) และ resolution (Rs)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</si>
  <si>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</si>
  <si>
    <t>ระบบที่ทดสอบน่าจะมีค่า Resolution ที่ดี</t>
  </si>
  <si>
    <t>สาร B มีความเป็นขั้วมากกว่ายา A</t>
  </si>
  <si>
    <t>Retention time ของยา A น้อยกว่าสาร B</t>
  </si>
  <si>
    <t>ยา A มีค่า Capacity factor มากกว่าสาร B</t>
  </si>
  <si>
    <t>ไม่มีตัวเลือกใดผิด</t>
  </si>
  <si>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</si>
  <si>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โครมาโทรกราฟีประเภทใดที่ใช้กระจกเคลือบด้วยซิลิกาเจลหรืออะลูมินาแล้วเกลี่ยให้บางเป็นตัวดูด ซับ</t>
  </si>
  <si>
    <t>Column Chromatography</t>
  </si>
  <si>
    <t>Paper Chromatography</t>
  </si>
  <si>
    <t>Thin layer Chromatography</t>
  </si>
  <si>
    <t>Glass Chromatography</t>
  </si>
  <si>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</si>
  <si>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ใช้ TLC พิสูจน์เอกลักษณ์โดยได้</t>
  </si>
  <si>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</si>
  <si>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TLC (Thin Layer)</t>
  </si>
  <si>
    <t>ในการตรวจวัดระดับยาคุมกำเนิดในเม็ดยา ควรใช้วิธีการใดในการวัด</t>
  </si>
  <si>
    <t>IR</t>
  </si>
  <si>
    <t>HPLC</t>
  </si>
  <si>
    <t>Specific rotation by polarimeter</t>
  </si>
  <si>
    <t>Refractive index by refractorymeter</t>
  </si>
  <si>
    <t>TLC</t>
  </si>
  <si>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</si>
  <si>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จากสูตรโครงสร้างของ HCTZ จะใช้อะไรในการตรวจสอบเอกลักษณ์ของวัตถุดิบ</t>
  </si>
  <si>
    <t>Fingerprint จาก FTIR</t>
  </si>
  <si>
    <t>Dragendorff’s reagent</t>
  </si>
  <si>
    <t>Spectrofluorometry</t>
  </si>
  <si>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</si>
  <si>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จากกราฟเป็นการวิเคราะห์โดยเครื่องมือใด</t>
  </si>
  <si>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</si>
  <si>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Gas chromatography</t>
  </si>
  <si>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</si>
  <si>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GC (Gas Chromatography)</t>
  </si>
  <si>
    <t>MZ HPLC หาปริมาณสาร วิเคราะห_หาชนิดสาร NMR หาโครงสร$างของสาร AAS หาปริมาณสาร</t>
  </si>
  <si>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</si>
  <si>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Norfluoxetine เปลี่ยนแปลงโครงสร$างที่ตำแหนGงใด โจทย_ไมGสมบูรณ_ เปลี่ยนจาก Fluoxetine โดยตัด methyl ที่ Secondary amine ได$ Primary amine</t>
  </si>
  <si>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</si>
  <si>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GC และ HPLC 11.) การ Modify โครงสร้างยาส่วนไหนทำให้มีฤทธิ์เพิ่มขึ้น</t>
  </si>
  <si>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</si>
  <si>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</si>
  <si>
    <t>100 %</t>
  </si>
  <si>
    <t>68 %</t>
  </si>
  <si>
    <t>146 %</t>
  </si>
  <si>
    <t>84 %</t>
  </si>
  <si>
    <t>72 %</t>
  </si>
  <si>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</si>
  <si>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34 (PLE_CC1_Key_Rx20_UBU.md)</t>
  </si>
  <si>
    <t>วิธีใดเหมาะสมในการตรวจหา related substance ที่ปนเปื้อนอยู่ในวัตถุดิบ doxorubicin</t>
  </si>
  <si>
    <t>UV spectrophotometer</t>
  </si>
  <si>
    <t>Fluorimeter</t>
  </si>
  <si>
    <t>Potentiometer substrate</t>
  </si>
  <si>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</si>
  <si>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17 (PLE_CC1_Key_Rx20_UBU.md)</t>
  </si>
  <si>
    <t>ให้ใบ COA ของยา cloxacillin 500 mg ซึ่งระบุหัวข้อการทดสอบ ดังนี้ - assay อยู่ในช่วงประมาณ 90-120% - identification ระบุว่า ผ่าน - dissolution Q = 80 ข้อใดถูกต้อง</t>
  </si>
  <si>
    <t>ถ้ายามีความแรง 608 mg แสดงว่าผ่านมาตรฐาน</t>
  </si>
  <si>
    <t>Identification ใช้วิธี HPLC ดูจาก retention time เทียบกับสารมาตรฐาน</t>
  </si>
  <si>
    <t>ยาผ่านมาตรฐานเพราะทุกค่ามีปริมาณยาที่ละลายเกิน 80%</t>
  </si>
  <si>
    <t>ยาผ่านมาตรฐาน dissolution test เมื่อยาละลายหมดใน 45 นาที</t>
  </si>
  <si>
    <t>ยาไม่ผ่านมาตรฐานหากใช้ mobile phase ต่างชนิดจากที่ระบุใน USP ตอบ b) Identification ใช้วิธี HPLC ดูจาก retention time เทียบกับสารมาตรฐาน</t>
  </si>
  <si>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</si>
  <si>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45 (PLE_CC1_Key_Rx20_UBU.md)</t>
  </si>
  <si>
    <t>ค่า specific rotation -107° ถึง -109.5° ถามว่าใช้เครื่องมืออะไร</t>
  </si>
  <si>
    <t>NMR</t>
  </si>
  <si>
    <t>Refractometry</t>
  </si>
  <si>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</si>
  <si>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Chromatographic Analysis</t>
  </si>
  <si>
    <t>ข้อสอบจริง Product ปี 2567 ข้อ 1</t>
  </si>
  <si>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</si>
  <si>
    <t>UV spectroscopy</t>
  </si>
  <si>
    <t>Mass spectrometry</t>
  </si>
  <si>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</si>
  <si>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2567 ข้อ 2</t>
  </si>
  <si>
    <t>โจทย์ให้ Assay เรื่องยา Ezetimibe ยาวๆ ระบุ Run time: NLT 2.4 times the retention time of ezetimibe peak ถ้าหากมี retention time \= 5 การิเคราะห์นี้ควรใช้ run time ไม่น้อยกว่าเท่าไหร่</t>
  </si>
  <si>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</si>
  <si>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2567 ข้อ 5</t>
  </si>
  <si>
    <t>หากทำการทดสอบคุณภาพยา mometasone furoate แล้วกำหนดค่า resolution อย่างน้อย 6 หมายความว่าอย่างไร</t>
  </si>
  <si>
    <t>ตัวยามีความสม่ำเสมอไรซักอย่าง</t>
  </si>
  <si>
    <t>มีความสามารถในการแยกสารสองตัวอย่างชัดเจน</t>
  </si>
  <si>
    <t>มีความถูกต้องในการวัดสูง</t>
  </si>
  <si>
    <t>มีความแม่นยำในการวัด</t>
  </si>
  <si>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</si>
  <si>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</si>
  <si>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2565 ข้อ 64</t>
  </si>
  <si>
    <t>ผู้ป่วยได้รับ hydrocortisone cream 1 % จะวิเคราะห์หาปริมาณสาระสำคัญด้วยเทคนิคใด</t>
  </si>
  <si>
    <t>HPTLC</t>
  </si>
  <si>
    <t>Raman spectroscopy</t>
  </si>
  <si>
    <t>\ จำ choice ไม่ได้ \ Hydrocortisone cream 1% ประกอบด้วย -Hydrocortisone cream -PW -Mineral oil -Propylene glycol -Cetearyl palmitate -Cetearyl ... -SLS</t>
  </si>
  <si>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</si>
  <si>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2565 ข้อ 38</t>
  </si>
  <si>
    <t>การวิเคราะห์ยา paracetamol ใช้เครื่องมือใด [แนบรูป: ข้อสอบ Product ปี 2564 รหัสรูปภาพ image71]</t>
  </si>
  <si>
    <t>[แนบรูป: ข้อสอบ Product ปี 2564 รหัสรูปภาพ image71]</t>
  </si>
  <si>
    <t>Fluorescent</t>
  </si>
  <si>
    <t>X-ray diffraction คำอธิบาย: จาก spectrum ระหว่าง wavelengh และ absorbance และมีpeak สำคัญเพียงจุดเดียว จึงได้ว่าเป็นเครื่อง UV</t>
  </si>
  <si>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</si>
  <si>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10</t>
  </si>
  <si>
    <t>จากรูป เป็นเครืองมือใด [แนบรูป: ข้อสอบ Product ปี 2564 รหัสรูปภาพ image72]</t>
  </si>
  <si>
    <t>[แนบรูป: ข้อสอบ Product ปี 2564 รหัสรูปภาพ image72]</t>
  </si>
  <si>
    <t>GC</t>
  </si>
  <si>
    <t>Gas-liquid chromatography</t>
  </si>
  <si>
    <t>TLC คำอธิบาย: จากภาพ มีแกนระหว่าง time และ absorbance และมี peak ของสารต่างกัน ออกมาในเวลาไม่เท่ากัน จึงได้ว่าเป็นเครื่อง HPLC</t>
  </si>
  <si>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</si>
  <si>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16</t>
  </si>
  <si>
    <t>แกน X และ Y คืออะไรตามลำดับ [แนบรูป: ข้อสอบ Product ปี 2564 รหัสรูปภาพ image76]</t>
  </si>
  <si>
    <t>[แนบรูป: ข้อสอบ Product ปี 2564 รหัสรูปภาพ image76]</t>
  </si>
  <si>
    <t>X \= Absorbance, Y \= Wavelength</t>
  </si>
  <si>
    <t>X \= %Transmittance, Y \= Wave number</t>
  </si>
  <si>
    <t>X \= %Transmittance, Y \= Wavelength</t>
  </si>
  <si>
    <t>X \= Wave number, Y \= %Transmittance</t>
  </si>
  <si>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</si>
  <si>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</si>
  <si>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40</t>
  </si>
  <si>
    <t>ข้อใดเป็นการวิเคราะห์ปริมาณตัวยาสำคัญของยาเม็ดคุมกำเนิด Levonorgestrel และ Ethinyl estradiol</t>
  </si>
  <si>
    <t>Titrimetry</t>
  </si>
  <si>
    <t>Infrared spectrometry</t>
  </si>
  <si>
    <t>UV spectrophotometry</t>
  </si>
  <si>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</si>
  <si>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</si>
  <si>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77</t>
  </si>
  <si>
    <t>หากต้องการแยกอนุพันธ์ ตามภาพเป็นการแยกด้วยวิธีใด [แนบรูป: ข้อสอบ Product ปี 2564 รหัสรูปภาพ image85]</t>
  </si>
  <si>
    <t>[แนบรูป: ข้อสอบ Product ปี 2564 รหัสรูปภาพ image85]</t>
  </si>
  <si>
    <t>Capillary electrophoresis</t>
  </si>
  <si>
    <t>Atom absorption</t>
  </si>
  <si>
    <t>Mass spectrophotometer คำอธิบาย: จากภาพ มีแกนระหว่าง time และ absorbance และมี peak ของสารต่างกัน ออกมาในเวลาไม่เท่ากัน จึงได้ว่าเป็นเครื่อง HPLC</t>
  </si>
  <si>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</si>
  <si>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90</t>
  </si>
  <si>
    <t>จากโครงสร้างของ griseofulvin การตรวจสอบคุณภาพใด ทำให้ได้ลักษณะเฉพาะที่ออกฤทธิ์ [แนบรูป: ข้อสอบ Product ปี 2564 รหัสรูปภาพ image87]</t>
  </si>
  <si>
    <t>[แนบรูป: ข้อสอบ Product ปี 2564 รหัสรูปภาพ image87]</t>
  </si>
  <si>
    <t>Refractive Index ❌ ใช้บอกดัชนีหักเหของสาร ไม่บอกโครงสร้างที่ออกฤทธิ์</t>
  </si>
  <si>
    <t>IR ❌ บอกหมู่ฟังก์ชัน ไม่แยก stereoisomer</t>
  </si>
  <si>
    <t>Polarization ✅ วัด Specific rotation ใช้ยืนยัน stereochemistry/optical activity ซึ่งมีผลต่อฤทธิ์ของ griseofulvin</t>
  </si>
  <si>
    <t>HPLC ❌ ใช้วิเคราะห์ปริมาณหรือความบริสุทธิ์ ไม่ได้บอก optical activity (ถ้าไม่ใช่ chiral HPLC)</t>
  </si>
  <si>
    <t>AAS ❌ ใช้วิเคราะห์ธาตุโลหะ</t>
  </si>
  <si>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</si>
  <si>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118</t>
  </si>
  <si>
    <t>ถ้าวิเคราะห์ ยา A ด้วย HPLC ได้ retention time ของ standard กับยา A เท่ากันแปลว่าอะไร</t>
  </si>
  <si>
    <t>ยา กับ standard เป็นสารคนละตัวกัน</t>
  </si>
  <si>
    <t>เวลาที่ standard กับ ยา A อยู่ใน column เท่ากัน</t>
  </si>
  <si>
    <t>ยา A เป็น by product ของ standard</t>
  </si>
  <si>
    <t>ยา A มีความชอบกับ Stationary phase ใน column มากกว่า standard</t>
  </si>
  <si>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</si>
  <si>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</si>
  <si>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132</t>
  </si>
  <si>
    <t>จากรูปเป็นการวิเคราะห์โดยใช้เครื่องมือใด [แนบรูป: ข้อสอบ Product ปี 2564 รหัสรูปภาพ image89]</t>
  </si>
  <si>
    <t>[แนบรูป: ข้อสอบ Product ปี 2564 รหัสรูปภาพ image89]</t>
  </si>
  <si>
    <t>กราฟ DSC</t>
  </si>
  <si>
    <t>กราฟ UV</t>
  </si>
  <si>
    <t>กราฟ IR</t>
  </si>
  <si>
    <t>กราฟ HPLC</t>
  </si>
  <si>
    <t>กราฟ AAS คำอธิบาย: จากภาพ มีแกนระหว่าง time และ absorbance และมี peak ของสารต่างกัน ออกมาในเวลาไม่เท่ากัน จึงได้ว่าเป็นเครื่อง HPLC</t>
  </si>
  <si>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</si>
  <si>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152</t>
  </si>
  <si>
    <t>ข้อใดคือวิธีวิเคราะห์ EPO ตาม British pharmacopoeia</t>
  </si>
  <si>
    <t>Refractometer</t>
  </si>
  <si>
    <t>Optical rotation</t>
  </si>
  <si>
    <t>Peptide mapping คำอธิบาย: Erythropoietin เป็น โปรตีน/ไกลโคโปรตีน การตรวจเอกลักษณ์ใช้วิธีที่ดู ลำดับ peptide และโครงสร้างของโปรตีน เช่น peptide mapping</t>
  </si>
  <si>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</si>
  <si>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2564 ข้อ 162</t>
  </si>
  <si>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</si>
  <si>
    <t>[แนบรูป: ข้อสอบ Product ปี 2563 รหัสรูปภาพ image94]</t>
  </si>
  <si>
    <t>Atomic absorption spectrophotometry</t>
  </si>
  <si>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</si>
  <si>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</si>
  <si>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2563 ข้อ 9</t>
  </si>
  <si>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</si>
  <si>
    <t>[แนบรูป: ข้อสอบ Product ปี 2563 รหัสรูปภาพ image95]</t>
  </si>
  <si>
    <t>Confocal microscope</t>
  </si>
  <si>
    <t>Immunohistochemistry</t>
  </si>
  <si>
    <t>Atomic force</t>
  </si>
  <si>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</si>
  <si>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</si>
  <si>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2563 ข้อ 10</t>
  </si>
  <si>
    <t>ข้อใดเป็นการวิเคราะห์ปริมาณตัวยาสำคัญของยาเม็ดคุมกำเนิด Levonorgestrel และ Ethinyl estradiol ต้นฉบับ: Day 2 ข้อ 68</t>
  </si>
  <si>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</si>
  <si>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</si>
  <si>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2563 ข้อ 11</t>
  </si>
  <si>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</si>
  <si>
    <t>colloidal silicon dioxide</t>
  </si>
  <si>
    <t>sodium lauryl sulfate</t>
  </si>
  <si>
    <t>microcrystalline cellulose</t>
  </si>
  <si>
    <t>sodium starch glycolate</t>
  </si>
  <si>
    <t>magnesium stearate | คำอธิบาย Sodium lauryl sulfate (SLS) เป็น anionic surfactant ที่ใช้เป็น wetting agent / solubilizing agent ในตำรับยาเม็ดของตัวยาที่ละลายน้ำยาก   กลไก 2 ทาง:</t>
  </si>
  <si>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</si>
  <si>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2562 ข้อ 5</t>
  </si>
  <si>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</si>
  <si>
    <t>Tray drying</t>
  </si>
  <si>
    <t>Microwave drying</t>
  </si>
  <si>
    <t>Spray drying</t>
  </si>
  <si>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</si>
  <si>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</si>
  <si>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2562 ข้อ 3</t>
  </si>
  <si>
    <t>ถ้าวิเคราะห์ยา A ด้วย HPLC ได้ retention time ของ standard เท่ากับยา A หมายความว่าอย่างไร</t>
  </si>
  <si>
    <t>ยา A กับ standard มีปริมาณเท่ากัน</t>
  </si>
  <si>
    <t>ยากับ standard เป็นสารคนละตัวกัน</t>
  </si>
  <si>
    <t>เวลาที่ standard กับยา A อยู่ใน column เท่ากัน</t>
  </si>
  <si>
    <t>ยา A มีความชอบพอกับ stationary phase ใน column มากกว่า standard</t>
  </si>
  <si>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</si>
  <si>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31</t>
  </si>
  <si>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</si>
  <si>
    <t>[แนบรูป: ข้อสอบ Product ปี 2561 รหัสรูปภาพ image109]</t>
  </si>
  <si>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</si>
  <si>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40</t>
  </si>
  <si>
    <t>หากต้องการตรวจหาปริมาณ EE และ levonogestrel ที่ประกอบอยู่ในยาเม็ด ควรใช้วิธีใด</t>
  </si>
  <si>
    <t>Mass spectroscopy</t>
  </si>
  <si>
    <t>UV-Vis spectroscopy</t>
  </si>
  <si>
    <t>Planar chromatography</t>
  </si>
  <si>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</si>
  <si>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63</t>
  </si>
  <si>
    <t>ควรใช้เครื่องมือใดในการพิสูจน์เอกลักษณ์ metformin raw material</t>
  </si>
  <si>
    <t>UV-vis</t>
  </si>
  <si>
    <t>Fluorescence</t>
  </si>
  <si>
    <t>X-ray diffraction</t>
  </si>
  <si>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</si>
  <si>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67</t>
  </si>
  <si>
    <t>ข้อใดคือวิธีการแยก racemic mixture</t>
  </si>
  <si>
    <t>Size exclusion</t>
  </si>
  <si>
    <t>Counter current</t>
  </si>
  <si>
    <t>Super critical fluid</t>
  </si>
  <si>
    <t>Chiral Chromatography</t>
  </si>
  <si>
    <t>Planar Chromatography</t>
  </si>
  <si>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</si>
  <si>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91</t>
  </si>
  <si>
    <t>จากภาพเป็นการวิเคราะห์โดยใช้เครื่องมือใด [แนบรูป: ข้อสอบ Product ปี 2561 รหัสรูปภาพ image115]</t>
  </si>
  <si>
    <t>[แนบรูป: ข้อสอบ Product ปี 2561 รหัสรูปภาพ image115]</t>
  </si>
  <si>
    <t>Capillary electrophoresis chromatography</t>
  </si>
  <si>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</si>
  <si>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103</t>
  </si>
  <si>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</si>
  <si>
    <t>เป็น normal phase</t>
  </si>
  <si>
    <t>ใช้ UV-vis วิเคราะห์ได้</t>
  </si>
  <si>
    <t>Stationary phase เป็น C18</t>
  </si>
  <si>
    <t>Tailing factor ใช้ดูความสมมาตรของกราฟ</t>
  </si>
  <si>
    <t>Column efficiency สามารถวัดได้โดย retention time กับ width length</t>
  </si>
  <si>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</si>
  <si>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2561 ข้อ 107</t>
  </si>
  <si>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</si>
  <si>
    <t>HPLC (High-Performance Liquid Chromatography) และ UV-Vis Spectrophotometry</t>
  </si>
  <si>
    <t>HPLC และ TLC (Thin-Layer Chromatography)</t>
  </si>
  <si>
    <t>TLC และ GC (Gas Chromatography)</t>
  </si>
  <si>
    <t>GC และ MS (Mass Spectrometry)</t>
  </si>
  <si>
    <t>Chromatographic retention time (เช่น HPLC/TLC) และ IR (Infrared Spectroscopy)</t>
  </si>
  <si>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</si>
  <si>
    <t>ข้อสอบจริง Product ปี 2558 ข้อ 39</t>
  </si>
  <si>
    <t>ข้อใดเป็นเทคนิคที่เหมาะสมในการพิสูจน์ chirality อัตลักษณ์ของวัตถุดิบยา Paclitaxel</t>
  </si>
  <si>
    <t>NIR (near infrared spectroscopy)</t>
  </si>
  <si>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</si>
  <si>
    <t>Optical Rotation &amp; Chirality</t>
  </si>
  <si>
    <t>ข้อสอบ Product (Chirality Identification)</t>
  </si>
  <si>
    <t>Spectroscopy</t>
  </si>
  <si>
    <t>Mock PLE-CC 1 ข้อ 74</t>
  </si>
  <si>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</si>
  <si>
    <t>NMR spectroscopy</t>
  </si>
  <si>
    <t>IR spectroscopy</t>
  </si>
  <si>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</si>
  <si>
    <t>ข้อสอบจริง PLE CC 1 (Product) ปี 2567 ข้อ 1</t>
  </si>
  <si>
    <t>PLE_CC1_2567_Key ข้อ 3</t>
  </si>
  <si>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</si>
  <si>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</si>
  <si>
    <t>ข้อสอบจริง PLE CC 1 (Product) ปี 2567 ข้อ 2</t>
  </si>
  <si>
    <t>PLE_CC1_2567_Set1_Key ข้อ 16</t>
  </si>
  <si>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</si>
  <si>
    <t>Functional group (หมู่ฟังก์ชันในโมเลกุล)</t>
  </si>
  <si>
    <t>Electrospray Ionization Mass (m/z)</t>
  </si>
  <si>
    <t>Optical Rotation via Polarimeter</t>
  </si>
  <si>
    <t>Refractive Index via Abbe Refractometer</t>
  </si>
  <si>
    <t>Melting point and thermal behavior</t>
  </si>
  <si>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</si>
  <si>
    <t>Infrared (IR) Spectroscopy</t>
  </si>
  <si>
    <t>ข้อสอบจริง PLE CC 1 (Product) ปี 2566 ข้อ 4</t>
  </si>
  <si>
    <t>PLE-CC1 ปี 2566 Day 1 ข้อ 29</t>
  </si>
  <si>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</si>
  <si>
    <t>Inductively Coupled Plasma Spectroscopy (ICP-MS หรือ ICP-OES)</t>
  </si>
  <si>
    <t>Differential Scanning Calorimetry (DSC)</t>
  </si>
  <si>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</si>
  <si>
    <t>Atomic Spectroscopy &amp; Elemental Impurities</t>
  </si>
  <si>
    <t>ข้อสอบจริง PLE CC 1 ปี 2566 Day 2 ข้อ 90</t>
  </si>
  <si>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</si>
  <si>
    <t>Limit of Detection (LOD; ขีดจำกัดต่ำสุดที่สามารถตรวจพบได้)</t>
  </si>
  <si>
    <t>Specificity (ความจำเพาะในการตรวจวิเคราะห์ตัวยาสำคัญท่ามกลางสารช่วยในตำรับ)</t>
  </si>
  <si>
    <t>Accuracy (ความถูกต้อง โดยประเมินค่า %Recovery)</t>
  </si>
  <si>
    <t>Precision (ความเที่ยง ทั้ง Repeatability และ Intermediate precision)</t>
  </si>
  <si>
    <t>Linearity and Range (ความเป็นเส้นตรงและช่วงการวิเคราะห์)</t>
  </si>
  <si>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</si>
  <si>
    <t>ข้อสอบจริง PLE CC 1 ปี 2566 Day 2 ข้อ 87</t>
  </si>
  <si>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</si>
  <si>
    <t>Carbonyl group (C=O stretching เช่น ใน ketone, ester, carboxylic acid)</t>
  </si>
  <si>
    <t>Hydroxyl group (O-H stretching ใน alcohol หรือ phenol)</t>
  </si>
  <si>
    <t>Amine group (N-H stretching ใน primary หรือ secondary amine)</t>
  </si>
  <si>
    <t>Alkyne group (C≡C stretching)</t>
  </si>
  <si>
    <t>Aromatic ring (C=C aromatic stretching)</t>
  </si>
  <si>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</si>
  <si>
    <t>ข้อสอบจริง PLE CC 1 ปี 2565 Day 1 ข้อ 45</t>
  </si>
  <si>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</si>
  <si>
    <t>Infrared (IR) Spectroscopy และ X-ray Powder Diffraction (XRPD)</t>
  </si>
  <si>
    <t>Refractive Index</t>
  </si>
  <si>
    <t>Loss on Drying</t>
  </si>
  <si>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</si>
  <si>
    <t>Polymorphism &amp; Solid-state Spectroscopy</t>
  </si>
  <si>
    <t>ข้อสอบจริง PLE CC 1 ปี 2561 ข้อ 2</t>
  </si>
  <si>
    <t>PLE_CC1_2564_All_Key ข้อ 136</t>
  </si>
  <si>
    <t>โครงสร้าง ethambutol ข้อใดถูก M69608 X neediererz restora ninata do nee ↑</t>
  </si>
  <si>
    <t>เป็น zwitter ion</t>
  </si>
  <si>
    <t>ละลายได้ดีในกรด</t>
  </si>
  <si>
    <t>ดูดกลืนแสงช่วง UV</t>
  </si>
  <si>
    <t>มี stereomer 1 ตำแหน่ง</t>
  </si>
  <si>
    <t>ขับออกได้ดีในสภาวะปัสสาวะเป็นด่าง</t>
  </si>
  <si>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</si>
  <si>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UV-Vis Spectroscopy</t>
  </si>
  <si>
    <t>ข้อ 14 (PLE_CC1_2562_Key.md)</t>
  </si>
  <si>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</si>
  <si>
    <t>Phenyl ring (และ Pyridyl ring ที่มี conjugated double bonds)</t>
  </si>
  <si>
    <t>Pyrrolidine ring (วง aliphatic heterocyclic amine)</t>
  </si>
  <si>
    <t>Methyl group</t>
  </si>
  <si>
    <t>Ethylene bridge ที่ไม่มี conjugation</t>
  </si>
  <si>
    <t>Aliphatic tertiary amine</t>
  </si>
  <si>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</si>
  <si>
    <t>ข้อสอบจริง PLE CC 1 ปี 2560 Set 1</t>
  </si>
  <si>
    <t>ข้อใดคือเครื่องมือที่ใช้พิสูจน์เอกลักษณ์ในการออกฤทธิ์ของยาในข้อ 60</t>
  </si>
  <si>
    <t>Infrared spectrometer</t>
  </si>
  <si>
    <t>Mass spectrometer</t>
  </si>
  <si>
    <t>UV-visible spectrometer ห้ามนำไปทำซ้ำทุกกรณี เว้นแต่จะได้รับอนุญาต candidiasis และ trichomonas vaginitis สั่งให้ยา - Tinidazole 500 mg 4x1 - Clotrimazole vaginal tablets 500 mg hs</t>
  </si>
  <si>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</si>
  <si>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61 (PLE_CC1_2559.md)</t>
  </si>
  <si>
    <t>ข้อใดถูกต้องเกี่ยวกับกระบวนเมแทบอลิซึมของ metformin</t>
  </si>
  <si>
    <t>มีค่าชีวิตยาว เนื่องจากต้องถูกทำลายด้วยเอนไซม์ไซโตรโคมพี 450 หลายไอโซฟอร์ม</t>
  </si>
  <si>
    <t>มีค่าชีวิตยาว เนื่องจากต้องถูกทำลายด้วยเอนไซม์ทรานเฟอร์เรสหลายชนิด</t>
  </si>
  <si>
    <t>มีค่าชีวิตยาว เนื่องจากไม่สามารถถูกทำลายได้ด้วยกระบวนการเมแทบอลิซึมในร่างกาย</t>
  </si>
  <si>
    <t>มีค่าครึ่งยาว เนื่องจากมีใช้เวลาในการดูดซึมนาน</t>
  </si>
  <si>
    <t>มีค่าครึ่งยาว เนื่องจากมีการกระจายตัวในร่างกายที่ต่ำ</t>
  </si>
  <si>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</si>
  <si>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93 (Pharmtutor_2024_Set1.md)</t>
  </si>
  <si>
    <t>ยาสูตรใด มีความเป็นพิษต่อตับน้อยที_x001E_สุด (1) 2RZE / 10RE (2) 2SHE / 10HE (3) 2HRE / 7HR (4) 2SHRE / 6HR (5) 18-24SEO MCQ 12 | 1/2557 | Page 17</t>
  </si>
  <si>
    <t>UV-Vis Spectrophotometry at lambda max</t>
  </si>
  <si>
    <t>FTIR Spectroscopy (Attenuated Total Reflection)</t>
  </si>
  <si>
    <t>Proton NMR (1H-NMR) Spectroscopy</t>
  </si>
  <si>
    <t>Carbon-13 NMR (13C-NMR) Spectroscopy</t>
  </si>
  <si>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</si>
  <si>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20 (PLE_CC1_2557.md)</t>
  </si>
  <si>
    <t>โครงสร้างของยาในข้อใด สามารถใช้ specific rotation เพื_x001E_อระบุเอกลักษณ์ของยาได้ (1) (2) (3) (4) (5)</t>
  </si>
  <si>
    <t>Electrospray Ionization Mass Spectrometry (ESI-MS)</t>
  </si>
  <si>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</si>
  <si>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21 (PLE_CC1_2557.md)</t>
  </si>
  <si>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</si>
  <si>
    <t>Fluorescence Spectrophotometry</t>
  </si>
  <si>
    <t>Atomic Absorption Spectrophotometry (AAS)</t>
  </si>
  <si>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</si>
  <si>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65 (PLE_CC1_2557.md)</t>
  </si>
  <si>
    <t>ยาที่มี Polymoph ต่างกันจะมีคุณสมบัติที่แตกต่างกัน ยกเว้น ข้อใด</t>
  </si>
  <si>
    <t>ความคงตัว</t>
  </si>
  <si>
    <t>ค่าการละลาย</t>
  </si>
  <si>
    <t>ประสิทธิภาพในการรักษา</t>
  </si>
  <si>
    <t>ค่าคงที่การดูดกลืนแสง</t>
  </si>
  <si>
    <t>การหักเหของแสง คณะเภสัชศาสตร์ มหาวิทยาลัยเชียงใหม่ Rx 44 CMU</t>
  </si>
  <si>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มหาวิทยาลัยเชียงใหม่ Rx 44 CMU): การหักเหของแสง คณะเภสัชศาสตร์ มหาวิทยาลัยเชียงใหม่ Rx 44 CMU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</si>
  <si>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89 (PLE_CC1_2555 Day 1.md)</t>
  </si>
  <si>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</si>
  <si>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</si>
  <si>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</si>
  <si>
    <t>X-ray Powder Diffraction (XRPD) และ Differential Scanning Calorimetry (DSC)</t>
  </si>
  <si>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</si>
  <si>
    <t>Solid-State Characterization &amp; Thermal Analysis</t>
  </si>
  <si>
    <t>ข้อสอบจริง PLE CC 1 (Polymorphism &amp; Solid-state)</t>
  </si>
  <si>
    <t>ข้อ 19 (PLE_CC1_2554 SET2.md)</t>
  </si>
  <si>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</si>
  <si>
    <t>a = A / (b × c)</t>
  </si>
  <si>
    <t>a = (A × b) / c</t>
  </si>
  <si>
    <t>a = (A × c) / b</t>
  </si>
  <si>
    <t>a = (b × c) / A</t>
  </si>
  <si>
    <t>a = A - (b × c)</t>
  </si>
  <si>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</si>
  <si>
    <t>ข้อสอบจริง PLE CC 1 (Beer-Lambert Law)</t>
  </si>
  <si>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</si>
  <si>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โครงสร้างของยาใด สามารถใช้ specific rotation เพื่อระบุเอกลักษณ์ (identification) ได้</t>
  </si>
  <si>
    <t>Para-aminosalicylic acid</t>
  </si>
  <si>
    <t>Ethionamide</t>
  </si>
  <si>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</si>
  <si>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</si>
  <si>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ไม่ตรงกับข้อบ่งใช้หรือกลไกการออกฤทธิ์ที่ถูกต้องตาม Thai Pharmacopoeia 2021 / USP &lt;197&gt;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</si>
  <si>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ข้อใดไม่ใช่กลไกการดื้อยาของ Oxytetracyclin</t>
  </si>
  <si>
    <t>สร้างเอนไซม์มาทำลายยา</t>
  </si>
  <si>
    <t>ยับยั้งเอนไซม์ peptidyl transferase</t>
  </si>
  <si>
    <t>ขับยาออกนอกเซลล์โดยกระบวนการ active transport</t>
  </si>
  <si>
    <t>เปลี่ยนโครงสร้างของไรโบโซม ทำให้ยาจับไม่ได้</t>
  </si>
  <si>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</si>
  <si>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</si>
  <si>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Atomic spectroscopy</t>
  </si>
  <si>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</si>
  <si>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(ปี 2566, Day 2 ข้อ 87\) (เรื่อง: การ Validate In-house method ด้วย UV-Vis) ทดสอบ In-house method ของการหา assay ด้วยวิธี UV-Vis ไม่ต้อง validate หัวข้อใด</t>
  </si>
  <si>
    <t>Specificity</t>
  </si>
  <si>
    <t>Accuracy</t>
  </si>
  <si>
    <t>Linearity</t>
  </si>
  <si>
    <t>Precision</t>
  </si>
  <si>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</si>
  <si>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</si>
  <si>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Spectroscopy &amp; Optical Analysis</t>
  </si>
  <si>
    <t>ข้อสอบจริง Product ปี 2566 ข้อ 33</t>
  </si>
  <si>
    <t>(ปี 2566, Day 2 ข้อ 90\) (เรื่อง: เครื่องมือทดสอบ Elemental Impurity) จะทดสอบ Elemental impurity ใช้เครื่องมือไหน</t>
  </si>
  <si>
    <t>Inductively-coupled plasma spectroscopy</t>
  </si>
  <si>
    <t>FT-IR spectroscopy</t>
  </si>
  <si>
    <t xml:space="preserve"> เหตุผล: ตาม USP \&lt;233\&gt;/ICH Q3D มาตรฐานการตรวจธาตุปนเปื้อนใช้ ICP-MS หรือ ICP-OES เป็นหลัก</t>
  </si>
  <si>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</si>
  <si>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2566 ข้อ 36</t>
  </si>
  <si>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</si>
  <si>
    <t>Air sampling test</t>
  </si>
  <si>
    <t>Glove print test</t>
  </si>
  <si>
    <t>Contact plate</t>
  </si>
  <si>
    <t>Settle plates</t>
  </si>
  <si>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</si>
  <si>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</si>
  <si>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2566 ข้อ 42</t>
  </si>
  <si>
    <t>ชื่อยา imdur (ยี่ห้อ) ให้ส่วนประกอบยามา จำได้แค่มี magnesium stearate ข้อใดถูกต้อง</t>
  </si>
  <si>
    <t>ระบบ matti ของยาสามารถหักแบ่งได้แต่ห้ามเคี้ยว</t>
  </si>
  <si>
    <t>ระบบ reservoir ของยาตัวนี้สามารถหักแบ่งและเคี้ยวได้</t>
  </si>
  <si>
    <t>กินพร้อมยาลดกรดได้</t>
  </si>
  <si>
    <t>Na stearate ทำหน้าที่คล้าย Mg stearate ในนี้</t>
  </si>
  <si>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</si>
  <si>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</si>
  <si>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2565 ข้อ 9</t>
  </si>
  <si>
    <t>ให้กราฟ Infrared spectroscopy (IR) มา ถามว่าที่ wavelength 1699.34 แสดงถึงโครงสร้างอะไรของยา</t>
  </si>
  <si>
    <t>OH</t>
  </si>
  <si>
    <t>C=O</t>
  </si>
  <si>
    <t>C-O</t>
  </si>
  <si>
    <t>sp3 stretching</t>
  </si>
  <si>
    <t>C-C</t>
  </si>
  <si>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</si>
  <si>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2565 ข้อ 45</t>
  </si>
  <si>
    <t>ให้ monograph การทดสอบ dissolution มา แต่จำไม่ได้ว่าคือยาอะไร (น่าจะ tablet ทั่วไป) Apparatus: Apparatus 2 Tolerances: NLT 75% (Q) the labeled amount of .... ข้อใดถูกต้อง</t>
  </si>
  <si>
    <t>[แนบรูป: ข้อสอบ Product ปี 2565 รหัสรูปภาพ image15]</t>
  </si>
  <si>
    <t>เป็น reservoir device</t>
  </si>
  <si>
    <t>ปลดปล่อยยาได้นานขึ้น</t>
  </si>
  <si>
    <t>ชื่อระบบ monolithic</t>
  </si>
  <si>
    <t>ยากระจายใน matrix</t>
  </si>
  <si>
    <t>การปลดปล่อยยา ขึ้นกับ swelling และ erosion ของ polymer matrix</t>
  </si>
  <si>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</si>
  <si>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2565 ข้อ 91</t>
  </si>
  <si>
    <t>ให้ monograph ยา griseofulvin มา Specific Rotation, \+354° to \+364° Specific rotation หาได้จากเครื่องมือใด</t>
  </si>
  <si>
    <t>Monochromator  เป็นส่วนประกอบของเครื่องสเปกโตรโฟโตมิเตอร์ ใช้เลือกความยาวคลื่น</t>
  </si>
  <si>
    <t>Photometer  วัดความเข้มของแสง</t>
  </si>
  <si>
    <t>Spectrophotometer วัดการดูดกลืนแสง (Absorbance)</t>
  </si>
  <si>
    <t>Refractometer วัดดัชนีหักเหของแสง (Refractive index)</t>
  </si>
  <si>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</si>
  <si>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28</t>
  </si>
  <si>
    <t>ให้กราฟมาแล้วถามประมาณว่าปัจจัยอะไรที่ส่งผลให้ a, b, c ต่างกัน [แนบรูป: ข้อสอบ Product ปี 2564 รหัสรูปภาพ image78]</t>
  </si>
  <si>
    <t>[แนบรูป: ข้อสอบ Product ปี 2564 รหัสรูปภาพ image78]</t>
  </si>
  <si>
    <t>อุณหภูมิ</t>
  </si>
  <si>
    <t>ความเข้มข้น</t>
  </si>
  <si>
    <t>ความหนืด</t>
  </si>
  <si>
    <t>ค่าความเป็นกรด ด่าง</t>
  </si>
  <si>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</si>
  <si>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</si>
  <si>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53</t>
  </si>
  <si>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</si>
  <si>
    <t>[แนบรูป: ข้อสอบ Product ปี 2564 รหัสรูปภาพ image79]</t>
  </si>
  <si>
    <t>120%</t>
  </si>
  <si>
    <t>110%</t>
  </si>
  <si>
    <t>100%</t>
  </si>
  <si>
    <t>90%</t>
  </si>
  <si>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</si>
  <si>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</si>
  <si>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63</t>
  </si>
  <si>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</si>
  <si>
    <t>[แนบรูป: ข้อสอบ Product ปี 2564 รหัสรูปภาพ image82]</t>
  </si>
  <si>
    <t>A</t>
  </si>
  <si>
    <t>B</t>
  </si>
  <si>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</si>
  <si>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</si>
  <si>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87</t>
  </si>
  <si>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</si>
  <si>
    <t>มี Preservatives ❌ ผิด เพราะ Sterile Water for Injection ต้อง ปราศจากสารกันเสีย ถ้ามี preservative จะเป็น Bacteriostatic Water for Injection</t>
  </si>
  <si>
    <t>ใช้ได้หลายครั้ง ❌ โดยทั่วไปเป็น single-dose container เปิดแล้วควรใช้ทันที</t>
  </si>
  <si>
    <t>ได้จากน้ำกลั่นที่ทำให้ปราศจากเชื้อ ✅ ถูกต้อง WFI สามารถผลิตจากกระบวนการเช่น distillation แล้วทำให้ sterile</t>
  </si>
  <si>
    <t>ใช้ภาชนะเป็น glass type III ❌ ไม่ใช่ข้อกำหนดจำเพาะ ภาชนะสำหรับยาฉีดมักใช้ Type I glass (borosilicate) สำหรับความปลอดภัยสูง</t>
  </si>
  <si>
    <t>Osmolarity 308 ❌ Sterile water ไม่มี electrolytes → ไม่เป็น isotonic Osmolarity ≈ 0 mOsm/L ค่า \~308 mOsm/L คือสารละลาย isotonic เช่น 0.9% NaCl</t>
  </si>
  <si>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</si>
  <si>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96</t>
  </si>
  <si>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</si>
  <si>
    <t>[แนบรูป: ข้อสอบ Product ปี 2564 รหัสรูปภาพ image86]</t>
  </si>
  <si>
    <t>90.4%</t>
  </si>
  <si>
    <t>94.7%</t>
  </si>
  <si>
    <t>95.7%</t>
  </si>
  <si>
    <t>98.9%</t>
  </si>
  <si>
    <t>105.6% คำอธิบาย:[แนบรูป: ข้อสอบ Product ปี 2564 รหัสรูปภาพ image86] จากสูตร 	\[Q/T/(100-W/100)\] x 100 แทนค่า		\[(142/150)/(100-4.72/100)\] x 100 \= 99.35 ดังนั้นจึงประมาณเป็น D. 98.9</t>
  </si>
  <si>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</si>
  <si>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102</t>
  </si>
  <si>
    <t>ระบบแผ่นแปะที่เป็นระบบ reservoir จะปลดปล่อยยาด้วยปฏิกิริยาลำดับใด</t>
  </si>
  <si>
    <t>Zero order</t>
  </si>
  <si>
    <t>First order</t>
  </si>
  <si>
    <t>Pseudo first orders</t>
  </si>
  <si>
    <t>Second order</t>
  </si>
  <si>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</si>
  <si>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</si>
  <si>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119</t>
  </si>
  <si>
    <t>ควรทำตำรับรูปแบบใดเตรียมยาสำหรับเด็กซึ่งเป็นผงที่ไม่ละลายน้ำ</t>
  </si>
  <si>
    <t>Elixir ❌ ใช้กับยาที่ละลายในน้ำ/แอลกอฮอล์</t>
  </si>
  <si>
    <t>Solution ❌ ต้องละลายน้ำได้</t>
  </si>
  <si>
    <t>Tablets ❌ เด็ก 4 ขวบรับประทานยาลำบาก</t>
  </si>
  <si>
    <t>Capsule ❌ เด็กกลืนยาก และไม่เหมาะกับการปรับขนาดยา</t>
  </si>
  <si>
    <t>Suspension ✅ เหมาะกับยาที่ไม่ละลายน้ำและใช้ในเด็ก</t>
  </si>
  <si>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</si>
  <si>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120</t>
  </si>
  <si>
    <t>Donepezil 5 mg คุณสมบัติ good flowability stable in acid แต่ hydrolysis ใน alkaline และ neutral solution ได้ degradation products ควรเตรียมยาด้วยวิธีอะไร</t>
  </si>
  <si>
    <t>Dry granulation ❌ ใช้เมื่อ flow/compressibility ไม่ดี แต่ไม่จำเป็น</t>
  </si>
  <si>
    <t>Wet granulation \+ starch paste ❌ มีน้ำ → เสี่ยง hydrolysis</t>
  </si>
  <si>
    <t>Direct compression ✅ ไม่ใช้น้ำและเหมาะกับผงที่ไหลดี</t>
  </si>
  <si>
    <t>Wet or dry granulation ❌ wet granulation ไม่เหมาะ</t>
  </si>
  <si>
    <t>Direct compression or dry granulation with starch binder ❌ starch binder ไม่จำเป็น และอาจมีปัญหาเรื่องความชื้น</t>
  </si>
  <si>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</si>
  <si>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131</t>
  </si>
  <si>
    <t>จาก IR spectrum ตำแหน่ง 1685.16 cm⁻¹ คือหมู่พันธะใด [แนบรูป: ข้อสอบ Product ปี 2564 รหัสรูปภาพ image88]</t>
  </si>
  <si>
    <t>[แนบรูป: ข้อสอบ Product ปี 2564 รหัสรูปภาพ image88]</t>
  </si>
  <si>
    <t>-C=O</t>
  </si>
  <si>
    <t>-C=C-</t>
  </si>
  <si>
    <t>-SH</t>
  </si>
  <si>
    <t>-OH</t>
  </si>
  <si>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</si>
  <si>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</si>
  <si>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150</t>
  </si>
  <si>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</si>
  <si>
    <t>ใช้ basket apparatus</t>
  </si>
  <si>
    <t>เป็นการทดสอบหัวข้อ dissolution</t>
  </si>
  <si>
    <t>เป็นการทดสอบหัวข้อ disintegration</t>
  </si>
  <si>
    <t>เป็นการทดสอบหัวข้อ uniformity of dosage unit</t>
  </si>
  <si>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</si>
  <si>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</si>
  <si>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151</t>
  </si>
  <si>
    <t>จากโครงสร้างยา rifampicin ควรใช้เครื่องมือใดในการหาปริมาณยา [แนบรูป: ข้อสอบ Product ปี 2564 รหัสรูปภาพ image92]</t>
  </si>
  <si>
    <t>[แนบรูป: ข้อสอบ Product ปี 2564 รหัสรูปภาพ image92]</t>
  </si>
  <si>
    <t>UV-visible spectrophotometer</t>
  </si>
  <si>
    <t>Infrared spectroscope</t>
  </si>
  <si>
    <t>Mass spectroscope</t>
  </si>
  <si>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</si>
  <si>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</si>
  <si>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160</t>
  </si>
  <si>
    <t>ให้กราฟดังกล่าวให้ข้อมูลใด [แนบรูป: ข้อสอบ Product ปี 2564 รหัสรูปภาพ image93]</t>
  </si>
  <si>
    <t>[แนบรูป: ข้อสอบ Product ปี 2564 รหัสรูปภาพ image93]</t>
  </si>
  <si>
    <t>หมู่ฟังก์ชัน</t>
  </si>
  <si>
    <t>มวลโมเลกุล</t>
  </si>
  <si>
    <t>จำนวนโปรตอน</t>
  </si>
  <si>
    <t>จำนวนอิเล็กตรอน</t>
  </si>
  <si>
    <t>องค์ประกอบของธาตุ คำอธิบาย: IR spectroscopy ใช้ดู การสั่นของพันธะ (bond vibration) ทำให้สามารถระบุ หมู่ฟังก์ชัน (functional groups) ในโมเลกุลได้ Herb</t>
  </si>
  <si>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</si>
  <si>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2564 ข้อ 169</t>
  </si>
  <si>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</si>
  <si>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</si>
  <si>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</si>
  <si>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2563 ข้อ 2</t>
  </si>
  <si>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</si>
  <si>
    <t>ผ่านเกณฑ์ตามที่กำหนด</t>
  </si>
  <si>
    <t>ไม่ผ่าน เพราะมีการปนเปื้อนเชื้อรา</t>
  </si>
  <si>
    <t>ไม่ผ่าน เพราะมีการปนเปื้อนเชื้อแบคทีเรีย</t>
  </si>
  <si>
    <t>ไม่ผ่าน เพราะปริมาณความชื้นไม่อยู่ในช่วงที่กำหนด</t>
  </si>
  <si>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</si>
  <si>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</si>
  <si>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2563 ข้อ 7</t>
  </si>
  <si>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</si>
  <si>
    <t>Sucrose – sweetening agent</t>
  </si>
  <si>
    <t>Titanium dioxide – opacifier</t>
  </si>
  <si>
    <t>Lactose monohydrate – film former</t>
  </si>
  <si>
    <t>Calcium hydrogen phosphate dehydrate – film former</t>
  </si>
  <si>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</si>
  <si>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</si>
  <si>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</si>
  <si>
    <t>Acacia</t>
  </si>
  <si>
    <t>Carbomer</t>
  </si>
  <si>
    <t>Sodium alginate</t>
  </si>
  <si>
    <t>Methylcellulose</t>
  </si>
  <si>
    <t>Sodium carboxymethycellulose | คำอธิบาย Carbomer (carbopol) เป็น polyacrylic acid ที่เป็นสารก่อเจลที่ทนต่อระบบที่มีแอลกอฮอล์ได้ดีที่สุดในบรรดาตัวเลือก   เหตุผล:</t>
  </si>
  <si>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</si>
  <si>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จากโครงสร้างของยา griseofulvin การตรวจสอบคุณภาพใด ทำให้ได้ลักษณะเฉพาะที่ออกฤทธิ์</t>
  </si>
  <si>
    <t>H¹-NMR</t>
  </si>
  <si>
    <t>Reflectometer</t>
  </si>
  <si>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</si>
  <si>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11</t>
  </si>
  <si>
    <t>แผ่นแปะ มีรูปแบบ ดังภาพ เป็นระบบนำส่งยาแบบใด [แนบรูป: ข้อสอบ Product ปี 2561 รหัสรูปภาพ image104]</t>
  </si>
  <si>
    <t>[แนบรูป: ข้อสอบ Product ปี 2561 รหัสรูปภาพ image104]</t>
  </si>
  <si>
    <t>Reservoir system</t>
  </si>
  <si>
    <t>Microreservoir system</t>
  </si>
  <si>
    <t>Polyplastic type system</t>
  </si>
  <si>
    <t>Matrix dispersion system</t>
  </si>
  <si>
    <t>Peripheral adhesive design</t>
  </si>
  <si>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</si>
  <si>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12</t>
  </si>
  <si>
    <t>จากรูปข้อ 59 ตัวยาจะถูกบรรจุอยู่ในส่วนใด</t>
  </si>
  <si>
    <t>Reservoir</t>
  </si>
  <si>
    <t>Backing layer</t>
  </si>
  <si>
    <t>Adhesive layer</t>
  </si>
  <si>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</si>
  <si>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13</t>
  </si>
  <si>
    <t>ให้ข้อมูลการละลายยามาถามว่าควรทำตำรับรูปแบบใด</t>
  </si>
  <si>
    <t>Elixir</t>
  </si>
  <si>
    <t>Solution</t>
  </si>
  <si>
    <t>Tablets</t>
  </si>
  <si>
    <t>Capsule</t>
  </si>
  <si>
    <t>Suspension</t>
  </si>
  <si>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</si>
  <si>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15</t>
  </si>
  <si>
    <t>การ plot กราฟ IR จะต้องมีองค์ประกอบอะไรบ้าง</t>
  </si>
  <si>
    <t>Absorbance กับ time</t>
  </si>
  <si>
    <t>Absorbance กับ wavelengths</t>
  </si>
  <si>
    <t>Absorbance กับ wavenumber</t>
  </si>
  <si>
    <t>Transmittance กับ time</t>
  </si>
  <si>
    <t>Transmittance กับ wavenumber</t>
  </si>
  <si>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</si>
  <si>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22</t>
  </si>
  <si>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</si>
  <si>
    <t>[แนบรูป: ข้อสอบ Product ปี 2561 รหัสรูปภาพ image110]</t>
  </si>
  <si>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</si>
  <si>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47</t>
  </si>
  <si>
    <t>ข้อมูลความคงตัว furosemide ยาละลายในด่าง (จากกราฟ Log P vs pH) จากข้อมูลควรเตรียมยารูปแบบใด [แนบรูป: ข้อสอบ Product ปี 2561 รหัสรูปภาพ image111]</t>
  </si>
  <si>
    <t>[แนบรูป: ข้อสอบ Product ปี 2561 รหัสรูปภาพ image111]</t>
  </si>
  <si>
    <t>Syrup pH 4</t>
  </si>
  <si>
    <t>Elixir buffer ด่าง</t>
  </si>
  <si>
    <t>Elixir buffer กรด</t>
  </si>
  <si>
    <t>Syrup buffer กรด</t>
  </si>
  <si>
    <t>Syrup buffer ด่าง</t>
  </si>
  <si>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</si>
  <si>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58</t>
  </si>
  <si>
    <t>ข้อใดถูกเกี่ยวกับ morphine extended tablets</t>
  </si>
  <si>
    <t>Reservoir ใช้ CAP เคลือบ</t>
  </si>
  <si>
    <t>ปลดปล่อยที่ลำไส้เล็กส่วนต้น</t>
  </si>
  <si>
    <t>Reservoir ใช้ HPMC เคลือบ</t>
  </si>
  <si>
    <t>Monolithic wax ต้องพองตัวและละลายได้</t>
  </si>
  <si>
    <t>Monolithic ใช้ polymer เป็น hydrophilic หรือ hydrophobic polymer</t>
  </si>
  <si>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</si>
  <si>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2561 ข้อ 104</t>
  </si>
  <si>
    <t>ยารูปแบบ reservoir ออกฤทธิ์แบบใด</t>
  </si>
  <si>
    <t>Pseudo first order</t>
  </si>
  <si>
    <t>Flib-flob</t>
  </si>
  <si>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</si>
  <si>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2559 ข้อ 2</t>
  </si>
  <si>
    <t>ยา extended release โดยตัวยาผสมกับ…และกระจายตัวอย่างสม่ำเสมอเป็นระบบแบบใด</t>
  </si>
  <si>
    <t>Mechanical pump</t>
  </si>
  <si>
    <t>Membrane reservoir</t>
  </si>
  <si>
    <t>Matrix system</t>
  </si>
  <si>
    <t>Osmotic system</t>
  </si>
  <si>
    <t>Hydro..........</t>
  </si>
  <si>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</si>
  <si>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2559 ข้อ 6</t>
  </si>
  <si>
    <t>ใน certificate of analysis จำเป็นต้องมีหัวข้อใดของยา levocetirizine</t>
  </si>
  <si>
    <t>Residue of ignition</t>
  </si>
  <si>
    <t>Specific rotation</t>
  </si>
  <si>
    <t>Residue of solvent</t>
  </si>
  <si>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</si>
  <si>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2559 ข้อ 22</t>
  </si>
  <si>
    <t>ยา extended release โดยนำตัวยาที่ออกฤทธิ์ผสมกับสารช่วยและกระจายตัวอย่างสม่ำเสมอเป็นระบบแบบใด</t>
  </si>
  <si>
    <t>Hydrodynamic system</t>
  </si>
  <si>
    <t>ข้อใดถูกเกี่ยวกับยาเตรียมเคมีบำบัด</t>
  </si>
  <si>
    <t>ห้องเตรียมควรเป็น positive pressure</t>
  </si>
  <si>
    <t>ลมเป่าควรเป็นแนว vertical</t>
  </si>
  <si>
    <t>ชุดคลุมปฏิบัติงานเมื่อใช้แล้วสามารถนำกลับมาใช้ได้จนกว่าใยผ้าจะเสื่อม</t>
  </si>
  <si>
    <t>ภาชนะบรรจุควรทำความสะอาดด้วย alcohol 90%</t>
  </si>
  <si>
    <t>การเตรียมใน laminar air flow มีความปลอดภัยมากกว่าการเตรียมใน isolator</t>
  </si>
  <si>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</si>
  <si>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2559 ข้อ 12</t>
  </si>
  <si>
    <t>ยา lopinavir/ritonavir oral solution เก็บไว้ที่อุณหภูมิ 5◦C ก่อนจำหน่ายให้กับผู้ป่วย จะมี shelf-life นานเท่าใด</t>
  </si>
  <si>
    <t>12 เดือน</t>
  </si>
  <si>
    <t>18 เดือน</t>
  </si>
  <si>
    <t>24 เดือน</t>
  </si>
  <si>
    <t>30 เดือน</t>
  </si>
  <si>
    <t>36 เดือน</t>
  </si>
  <si>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</si>
  <si>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2559 ข้อ 3</t>
  </si>
  <si>
    <t>การพัฒนาระบบนำส่งยาโดยการนำ polymer มาเคลือบ pellet แล้วมาตอกอัดเป็นเม็ด เรียกว่าระบบนำส่งยาแบบใด</t>
  </si>
  <si>
    <t>Polymer membrane permeation controlled DDS</t>
  </si>
  <si>
    <t>Polymer matrix diffusion controlled DDS</t>
  </si>
  <si>
    <t>Microreservoir partition controlled DDS</t>
  </si>
  <si>
    <t>Osmotic pressure activated DDS</t>
  </si>
  <si>
    <t>Hydrodynamic pressure activated DDS</t>
  </si>
  <si>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</si>
  <si>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2559 ข้อ 8</t>
  </si>
  <si>
    <t>วิธีการทำให้ผลิตภัณฑ์วัคซีนปราศจากเชื้อ (Sterilization) ในอุตสาหกรรมยาข้อใดถูกต้อง?</t>
  </si>
  <si>
    <t>กระบวนการผลิตแบบปลอดเชื้อ (Aseptic processing / Aseptic technique)</t>
  </si>
  <si>
    <t>การนึ่งฆ่าเชื้อด้วยความร้อนชื้น (Autoclave)</t>
  </si>
  <si>
    <t>การอบฆ่าเชื้อด้วยความร้อนแห้ง (Hot air oven)</t>
  </si>
  <si>
    <t>การฉายรังสีแกมมา (Gamma radiation)</t>
  </si>
  <si>
    <t>การรมก๊าซเอทิลีนออกไซด์ (Ethylene oxide gas)</t>
  </si>
  <si>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</si>
  <si>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2558 ข้อ 9</t>
  </si>
  <si>
    <t>หัวข้อการควบคุมคุณภาพหรือทดสอบผลิตภัณฑ์ยาข้อใดต่อไปนี้ ไม่จำเป็น ต้องทำสำหรับยาเม็ด Calcium Carbonate (CaCO3)?</t>
  </si>
  <si>
    <t>% Labeled Amount (% LA)</t>
  </si>
  <si>
    <t>Optical rotation (ค่าการหมุนแสงของสารเบนแสง)</t>
  </si>
  <si>
    <t>Weight variation</t>
  </si>
  <si>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</si>
  <si>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2558 ข้อ 13</t>
  </si>
  <si>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</si>
  <si>
    <t>การกรองผ่านแผ่นกรองเมมเบรนขนาด 0.22 ไมครอน (Membrane filtration 0.22 µm)</t>
  </si>
  <si>
    <t>Terminal sterilization ด้วย Autoclave</t>
  </si>
  <si>
    <t>การอบฆ่าเชื้อด้วยลมร้อน (Hot air oven)</t>
  </si>
  <si>
    <t>การอบฆ่าเชื้อด้วยก๊าซเอทิลีนออกไซด์ (Ethylene oxide)</t>
  </si>
  <si>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</si>
  <si>
    <t>ข้อสอบจริง Product ปี 2558 ข้อ 14</t>
  </si>
  <si>
    <t>ข้อใดกล่าวไม่ถูกต้องเกี่ยวกับการเรียกเก็บยาคืนตามเกณฑ์ของ GMP</t>
  </si>
  <si>
    <t>มีแผนกเรียกเก็บยาคืน</t>
  </si>
  <si>
    <t>ยาที่มีปัญหาระดับ 1 ต้องเรียกคืนทันที</t>
  </si>
  <si>
    <t>ต้องเก็บสินค้าออกจากท้องตลาดได้เลยทันที</t>
  </si>
  <si>
    <t>ต้องรายงานองค์การอาหารและยาภายใน 15 วัน</t>
  </si>
  <si>
    <t>การเรียกเก็บยาคืนเป็นหน้าที่ของฝ่ายการตลาดและฝ่ายขาย</t>
  </si>
  <si>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</si>
  <si>
    <t>GMP Regulations</t>
  </si>
  <si>
    <t>ข้อสอบเก่า 2561 ข้อ 18</t>
  </si>
  <si>
    <t>ข้อใดคือสภาวะมาตรฐานในการทดสอบความคงตัวของยาในระยะยาว (Long-term stability testing) สำหรับการขึ้นทะเบียนยาในประเทศไทย</t>
  </si>
  <si>
    <t>25°C ± 2°C / 60% ± 5% RH</t>
  </si>
  <si>
    <t>30°C ± 2°C / 65% ± 5% RH</t>
  </si>
  <si>
    <t>40°C ± 2°C / 75% ± 5% RH</t>
  </si>
  <si>
    <t>30°C ± 2°C / 75% ± 5% RH</t>
  </si>
  <si>
    <t>25°C ± 2°C / 75% ± 5% RH</t>
  </si>
  <si>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</si>
  <si>
    <t>Stability Testing</t>
  </si>
  <si>
    <t>ข้อสอบเก่า 2561 ข้อ 44</t>
  </si>
  <si>
    <t>ข้อใดถูกต้องเกี่ยวกับการจัดเตรียมยาเคมีบำบัด (Cytotoxic preparation) เพื่อความปลอดภัยตามมาตรฐานสากล</t>
  </si>
  <si>
    <t>ห้องเตรียมควรเป็น positive pressure เมื่อเทียบกับห้องภายนอก</t>
  </si>
  <si>
    <t>ลมเป่าควรเป็นแนว vertical ภายใน Biological Safety Cabinet</t>
  </si>
  <si>
    <t>ชุดคลุมปฏิบัติงานเมื่อใช้แล้วสามารถนำกลับมาใช้ซ้ำได้จนกว่าใยผ้าจะเสื่อม</t>
  </si>
  <si>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</si>
  <si>
    <t>Sterile Compounding &amp; Safety</t>
  </si>
  <si>
    <t>จากโครงสร้างทางเคมี L-dopa ถูกเปลี่ยนเป็น dopamine ในร่างกายด้วยปฏิกิริยาใด</t>
  </si>
  <si>
    <t>Oxidation</t>
  </si>
  <si>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</si>
  <si>
    <t>Preformulation &amp; Medicinal Chemistry</t>
  </si>
  <si>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</si>
  <si>
    <t>Limit of Detection (LOD)</t>
  </si>
  <si>
    <t>Limit of Quantitation (LOQ)</t>
  </si>
  <si>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</si>
  <si>
    <t>Method Validation &amp; Quality Control</t>
  </si>
  <si>
    <t>ข้อสอบเก่า 2562 / 2564</t>
  </si>
  <si>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</si>
  <si>
    <t>Wet granulation โดยใช้ starch paste เป็น binder</t>
  </si>
  <si>
    <t>Direct compression (การตอกตรง)</t>
  </si>
  <si>
    <t>Dry granulation ด้วยเครื่อง roller compactor</t>
  </si>
  <si>
    <t>Wet granulation ด้วย organic solvent</t>
  </si>
  <si>
    <t>Fluidized bed wet granulation</t>
  </si>
  <si>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</si>
  <si>
    <t>Preformulation &amp; Formulation Design</t>
  </si>
  <si>
    <t>ข้อสอบเก่า 2561 ข้อ 30 / 2564 ข้อ 131</t>
  </si>
  <si>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</si>
  <si>
    <t>Newtonian flow</t>
  </si>
  <si>
    <t>Dilatant flow</t>
  </si>
  <si>
    <t>Pseudoplastic flow</t>
  </si>
  <si>
    <t>Plastic flow</t>
  </si>
  <si>
    <t>Rheopectic flow</t>
  </si>
  <si>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</si>
  <si>
    <t>Preformulation &amp; Rheology</t>
  </si>
  <si>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</si>
  <si>
    <t>Hydroxypropyl methylcellulose (HPMC)</t>
  </si>
  <si>
    <t>Ethyl cellulose (EC)</t>
  </si>
  <si>
    <t>Polyethylene glycol (PEG)</t>
  </si>
  <si>
    <t>Hydroxypropyl methylcellulose phthalate (HPMCP)</t>
  </si>
  <si>
    <t>Povidone (PVP)</t>
  </si>
  <si>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</si>
  <si>
    <t>Preformulation &amp; Polymer Coating</t>
  </si>
  <si>
    <t>ข้อสอบเก่า 2562 / 2566</t>
  </si>
  <si>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</si>
  <si>
    <t>Croscarmellose sodium</t>
  </si>
  <si>
    <t>Talcum</t>
  </si>
  <si>
    <t>Povidone K30</t>
  </si>
  <si>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</si>
  <si>
    <t>Preformulation &amp; Excipients</t>
  </si>
  <si>
    <t>ข้อสอบเก่า 2561 ข้อ 108 / 2567 ข้อ 15</t>
  </si>
  <si>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</si>
  <si>
    <t>Grade A ทั้งในจุดสัมผัสยาและสภาพแวดล้อมพื้นหลัง</t>
  </si>
  <si>
    <t>Grade D สำหรับทั้งกระบวนการเตรียมและบรรจุ</t>
  </si>
  <si>
    <t>Grade C สำหรับทั้งกระบวนการเตรียมและบรรจุ</t>
  </si>
  <si>
    <t>Grade A ในจุดสัมผัสยา โดยมีสภาพแวดล้อมพื้นหลังเป็น Grade B</t>
  </si>
  <si>
    <t>Grade B ในจุดสัมผัสยา โดยมีสภาพแวดล้อมพื้นหลังเป็น Grade C</t>
  </si>
  <si>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</si>
  <si>
    <t>GMP PIC/S &amp; Sterile Manufacturing</t>
  </si>
  <si>
    <t>ข้อสอบเก่า 2566 Day 2 ข้อ 97</t>
  </si>
  <si>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</si>
  <si>
    <t>ผลิตในอาคารเดียวกันได้โดยใช้วิธีสลับรอบการผลิต (Campaign production)</t>
  </si>
  <si>
    <t>แยกอาคารผลิตแต่สามารถเชื่อมต่อระบบปรับอากาศ (HVAC) และระบบน้ำร่วมกันได้</t>
  </si>
  <si>
    <t>ต้องแยกอาคารผลิตและแยกระบบสาธารณูปโภค (HVAC/Water) โดยเด็ดขาด</t>
  </si>
  <si>
    <t>สามารถผลิตในห้องร่วมกับยาอื่นได้หากติดตั้ง HEPA filter ประจำเครื่องจักร</t>
  </si>
  <si>
    <t>ผลิตร่วมกับผลิตภัณฑ์อื่นได้หากผ่านการทดสอบ Cleaning validation อย่างเข้มงวด</t>
  </si>
  <si>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</si>
  <si>
    <t>GMP Facility Design &amp; Cross-Contamination</t>
  </si>
  <si>
    <t>ข้อสอบเก่า 2566 Day 2 ข้อ 76</t>
  </si>
  <si>
    <t>จากตำรับน้ำตาเทียม (จำไม่ได้) หากไม่มี Hydroxypropyl-guar สามารถใช้สารในข้อใดทำน้าที่แทนได้</t>
  </si>
  <si>
    <t>PVA</t>
  </si>
  <si>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</si>
  <si>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Pharmaceutical Technology General</t>
  </si>
  <si>
    <t>ข้อสอบจริง Product ปี 2567 ข้อ 6</t>
  </si>
  <si>
    <t>Ferrous Sulfate \ 7H2O หาน้ำในตำรับต้องใช้วิธีทดสอบใด</t>
  </si>
  <si>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</si>
  <si>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7</t>
  </si>
  <si>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</si>
  <si>
    <t>[แนบรูป: ข้อสอบ Product ปี 2567 รหัสรูปภาพ image2]</t>
  </si>
  <si>
    <t>3.59</t>
  </si>
  <si>
    <t>3.33</t>
  </si>
  <si>
    <t>0.28</t>
  </si>
  <si>
    <t>2.69</t>
  </si>
  <si>
    <t>0.3</t>
  </si>
  <si>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</si>
  <si>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9</t>
  </si>
  <si>
    <t>ข้อใดเป็นการเพิ่มความยืดหยุ่นใน nicotine gum</t>
  </si>
  <si>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</si>
  <si>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16</t>
  </si>
  <si>
    <t>แพทย์สอบถามเกี่ยกับการใช้ยา methimazole ในหญิงตั้งครรภ์ ถ้าไปสืบค้นโดยใช้ Micromedex, comp ถามว่าเป็นแหล่งข้อมูลแบบใด</t>
  </si>
  <si>
    <t>Secondary resources</t>
  </si>
  <si>
    <t>Primary resources</t>
  </si>
  <si>
    <t>Secondary และ tertiary</t>
  </si>
  <si>
    <t>Tertiary resources</t>
  </si>
  <si>
    <t>Primary และ secondary</t>
  </si>
  <si>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</si>
  <si>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20</t>
  </si>
  <si>
    <t>ถ้าอยากป้องกันไม่ให้ความชื้นออกจากผิว (occlusive) ต้องเติมสารใด</t>
  </si>
  <si>
    <t>White paraffin</t>
  </si>
  <si>
    <t>hyaluronic acid</t>
  </si>
  <si>
    <t>niacinamide</t>
  </si>
  <si>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</si>
  <si>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26</t>
  </si>
  <si>
    <t>หากต้องการให้ยาปลดปล่อยทันทีในกระเพาะอาารและลำไส้เล็ก (Immediate release) ต้องใช้สารในข้อใดเป็นสารเคลือบ</t>
  </si>
  <si>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</si>
  <si>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28</t>
  </si>
  <si>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</si>
  <si>
    <t>สามารถขายได้ ไม่ผิดกฎมาย ผิดจรรยาบรรณ</t>
  </si>
  <si>
    <t>ไม่สามารถขายได้ ผิดกฎมาย ผิดจรรยาบรรณ</t>
  </si>
  <si>
    <t>สามารถขายได้ ไม่ผิดกฎมาย ไม่ผิดจรรยาบรรณ</t>
  </si>
  <si>
    <t>ไม่สามารถขายได้ ผิดกฎมาย ไม่ผิดจรรยาบรรณ</t>
  </si>
  <si>
    <t>ไม่สามารถขายได้ ไม่ผิดกฎมาย ผิดจรรยาบรรณ # ข้อสอบจริง PLE CC 1 (Product) ปี 2567 # --- #</t>
  </si>
  <si>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</si>
  <si>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2567 ข้อ 38</t>
  </si>
  <si>
    <t>(ปี 2566, Day 2 ข้อ 41\) (เรื่อง: ยาที่ห้ามขายแบบ self-service) ยาใดห้ามขายในส่วนบริการตนเองในร้านยา</t>
  </si>
  <si>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</si>
  <si>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</si>
  <si>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2566 ข้อ 14</t>
  </si>
  <si>
    <t>(ปี 2566, Day 2 ข้อ 44\) (เรื่อง: บรรจุภัณฑ์ Albendazole ที่ไวความชื้นมาก) บรรจุภัณฑ์ของ albendazole ที่ไวต่อความชื้นมากๆ ควรเป็นอะไร</t>
  </si>
  <si>
    <t>ขวดพลาสติกใส่ซองกันชื้น</t>
  </si>
  <si>
    <t>ขวดแก้วสีชาใส่ซองกันชื้น</t>
  </si>
  <si>
    <t>ขวดแก้วใส่ซองกันชื้น</t>
  </si>
  <si>
    <t>แผงด้านนึงเป็น aluminium foil อีกด้านใส เป็นPEมั้ง</t>
  </si>
  <si>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</si>
  <si>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</si>
  <si>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Preformulation &amp; Good Manufacturing Practice</t>
  </si>
  <si>
    <t>ข้อสอบจริง Product ปี 2566 ข้อ 16</t>
  </si>
  <si>
    <t>(ปี 2566, Day 2 ข้อ 49\) (เรื่อง: White Petrolatum เป็น Base ชนิดใด) ตำรับมี White petrolatum ถามว่าเป็น base ชนิดใด</t>
  </si>
  <si>
    <t>Hydrophilic base</t>
  </si>
  <si>
    <t>Absorbtion base</t>
  </si>
  <si>
    <t>Oleaginous base เหตุผล: Petrolatum เป็น hydrocarbon ที่ไม่มีน้ำ ไม่ผสมน้ำ จัดเป็น oleaginous base ที่เป็นไขมันล้วนๆ</t>
  </si>
  <si>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</si>
  <si>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2566 ข้อ 19</t>
  </si>
  <si>
    <t>(ปี 2566, Day 2 ข้อ 76\) (เรื่อง: PIC/S GMP - สถานที่ผลิต Penicillin) ถ้าสถานที่ผลิตยาหนึ่งมี Penicillin ต้องจัดการสถานที่อย่างไรตาม PIC/S GMP</t>
  </si>
  <si>
    <t>ผลิตที่เดียวกะนได้</t>
  </si>
  <si>
    <t>แยกตึกแต่ใช้ utility ร่วมกันได้</t>
  </si>
  <si>
    <t>แยกตึกและแยก utility</t>
  </si>
  <si>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</si>
  <si>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</si>
  <si>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2566 ข้อ 26</t>
  </si>
  <si>
    <t>(ปี 2566, Day 2 ข้อ 77\) (เรื่อง: สารก่อฟิล์มในตำรับ) ให้สูตรตำรับมา ถามว่าข้อไหนเป็นสารก่อฟิล์ม</t>
  </si>
  <si>
    <t>PEG เหตุผล: Hypromellose เป็นพอลิเมอร์หลักที่ใช้เคลือบฟิล์ม (film-former) ส่วน PEG มักทำหน้าที่เป็น plasticizer มากกว่า</t>
  </si>
  <si>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</si>
  <si>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2566 ข้อ 27</t>
  </si>
  <si>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</si>
  <si>
    <t>Benzyl alcohol</t>
  </si>
  <si>
    <t>-Cresol</t>
  </si>
  <si>
    <t>-caine เหตุผล: กลุ่ม -caine ออกฤทธิ์ชาเฉพาะที่โดยตรง บรรเทาอาการเจ็บคอทันที ส่วน Benzyl alcohol/Cresol มักทำหน้าที่ระงับเชื้อ/กันเสียมากกว่า</t>
  </si>
  <si>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</si>
  <si>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2566 ข้อ 32</t>
  </si>
  <si>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</si>
  <si>
    <t>25 ± 2, 65%RH ± 5</t>
  </si>
  <si>
    <t>30 ± 2, 65%RH ± 5</t>
  </si>
  <si>
    <t>30 ± 2, 75%RH ± 5</t>
  </si>
  <si>
    <t>40 ± 2, 65%RH ± 5</t>
  </si>
  <si>
    <t>40 ± 2, 75%RH ± 5 เหตุผล: ประเทศไทยจัดอยู่ใน Climatic Zone IVb ตามแนวทาง ASEAN — สภาวะเร่ง (Accelerated) มาตรฐานคือ 40°C±2 / 75%RH±5</t>
  </si>
  <si>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</si>
  <si>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2566 ข้อ 40</t>
  </si>
  <si>
    <t>(ปี 2566, Day 2 ข้อ 99\) (เรื่อง: เครื่องผสมสำหรับยาไวแสง/ความชื้น/ความร้อน) ยาไวต่อแสง ความชื้น ความร้อนมากๆ ผสมด้วยเครื่องใดดี</t>
  </si>
  <si>
    <t>High-shear mixer</t>
  </si>
  <si>
    <t>Planetary mixer</t>
  </si>
  <si>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</si>
  <si>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</si>
  <si>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2566 ข้อ 43</t>
  </si>
  <si>
    <t>(ปี 2566, Day 2 ข้อ 100\) (เรื่อง: ความหมายของเลข PEG 400\) PEG 400 เลข 400 หมายถึงอะไร</t>
  </si>
  <si>
    <t>MW</t>
  </si>
  <si>
    <t>จำนวน monomer</t>
  </si>
  <si>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</si>
  <si>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2566 ข้อ 44</t>
  </si>
  <si>
    <t>ถ้าจะทำตำรับยาน้ำ methimazole ข้อใดเป็น wetting agent ที่เหมาะสมที่สุด</t>
  </si>
  <si>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</si>
  <si>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</si>
  <si>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26</t>
  </si>
  <si>
    <t>ขั้นตอนสุดท้ายของการรองรับรุ่นการผลิตของวัคซีนคืออะไร</t>
  </si>
  <si>
    <t>ไม่ต้องมี ถ้าได้ขึ้นทะเบียนยา</t>
  </si>
  <si>
    <t>ต้องผ่านการตรวจสอบ QC ของบริษัทยา</t>
  </si>
  <si>
    <t>ต้องผ่านการตรวจสอบกรมควบคุมโรค</t>
  </si>
  <si>
    <t>ต้องผ่านการตรวจสอบอ.ย.</t>
  </si>
  <si>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</si>
  <si>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</si>
  <si>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56</t>
  </si>
  <si>
    <t>สารช่วยในข้อใดช่วยให้ผงยา tiotropium bromide เปียกง่ายเมื่อผงยาสัมผัสกับของเหลวในทางเดินหายใจ</t>
  </si>
  <si>
    <t>citric acid</t>
  </si>
  <si>
    <t>titanium oxide</t>
  </si>
  <si>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</si>
  <si>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63</t>
  </si>
  <si>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</si>
  <si>
    <t>ความแรงในการตอกน้อยเกินไป</t>
  </si>
  <si>
    <t>ความแรงในการตอกมากเกินไป</t>
  </si>
  <si>
    <t>สารยึดเกาะไม่สม่ำเสมอ</t>
  </si>
  <si>
    <t>สารช่วยไหลน้อยเกินไป</t>
  </si>
  <si>
    <t>ความเร็วในการตอกน้อยเกินไป</t>
  </si>
  <si>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</si>
  <si>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85</t>
  </si>
  <si>
    <t>ต้องการเตรียม D1OW 500 ml จาก DSW กับ D50W จะเตรียมอย่างไร</t>
  </si>
  <si>
    <t>D5W 445 ml+ D50W 55ml</t>
  </si>
  <si>
    <t>D5W 495 ml+ D50W 5 ml</t>
  </si>
  <si>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</si>
  <si>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90</t>
  </si>
  <si>
    <t>หัวข้อการทดสอบที่มีทดสอบเฉพาะการควบคุมคุณภาพแผ่นแปะ cutaneous patch ตาม USP คืออะไร Assay</t>
  </si>
  <si>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</si>
  <si>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อะไรใน sterile IV mixture set ที่เกิดปัญหามากที่สุดกับ nitroglycerin n. Polyethylene</t>
  </si>
  <si>
    <t>Polypropylene</t>
  </si>
  <si>
    <t>Teflon</t>
  </si>
  <si>
    <t>PVC</t>
  </si>
  <si>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</si>
  <si>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</si>
  <si>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27</t>
  </si>
  <si>
    <t>ยากลุ่ม PP's ออกฤทธิ์โดยไปจับกับ target ด้วยพันธะใด</t>
  </si>
  <si>
    <t>lonic</t>
  </si>
  <si>
    <t>Disulfide bond</t>
  </si>
  <si>
    <t>H bond</t>
  </si>
  <si>
    <t>\จำ choice ไม่ได้ \</t>
  </si>
  <si>
    <t>\ จำ choice ไม่ได้ \</t>
  </si>
  <si>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</si>
  <si>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30</t>
  </si>
  <si>
    <t>ถ้าจะทดสอบวงนี้ต้องใช้วิธีใดในการทดสอบ [แนบรูป: ข้อสอบ Product ปี 2565 รหัสรูปภาพ image21]</t>
  </si>
  <si>
    <t>[แนบรูป: ข้อสอบ Product ปี 2565 รหัสรูปภาพ image21]</t>
  </si>
  <si>
    <t>Liebermann-burchard</t>
  </si>
  <si>
    <t>Dragendorff</t>
  </si>
  <si>
    <t>Foam test</t>
  </si>
  <si>
    <t>\จำ choice ไม่ได้</t>
  </si>
  <si>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</si>
  <si>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71</t>
  </si>
  <si>
    <t>จากกราฟ ข้อใดถูก [แนบรูป: ข้อสอบ Product ปี 2565 รหัสรูปภาพ image24]</t>
  </si>
  <si>
    <t>[แนบรูป: ข้อสอบ Product ปี 2565 รหัสรูปภาพ image24]</t>
  </si>
  <si>
    <t>เป็นกราฟของ solubility</t>
  </si>
  <si>
    <t>การสลายตัวแบบ zero order</t>
  </si>
  <si>
    <t>ที่ pH 4 มีการสลายตัวมากสุด</t>
  </si>
  <si>
    <t>การสลายตัวเมื่อ pH มากกว่า 4 อาศัย base catalyst</t>
  </si>
  <si>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</si>
  <si>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74</t>
  </si>
  <si>
    <t>ให้สูตรตำรับ Aluminum hydroxide paste eq. to Aluminum hydroxide 4 g, glycerol,sorbitol, methyl hydroxybenzoate, propyl hydroxybenzoate purified water as. to 100 ml ข้อใดกล่าวถูกต้อง</t>
  </si>
  <si>
    <t>ใช้ sorbitol กับ glycerol แทน เพราะมีความหวานมากกว่า</t>
  </si>
  <si>
    <t>ตำรับนี้ไม่มี flavoring agent</t>
  </si>
  <si>
    <t>Methyl cellulose เป็นสารให้ความหนืดที่ไม่มีประจุ</t>
  </si>
  <si>
    <t>methyl paraben และ propyl paraben เป็น antioxidants ป้องกันการเสื่อมสลาย</t>
  </si>
  <si>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</si>
  <si>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79</t>
  </si>
  <si>
    <t>ตอบ ง. Cetearyl palmitate คำอธิบาย : เป็น Stiffening agent เมื่อลองพิจารณาข้ออื่น</t>
  </si>
  <si>
    <t>glycerin \= Humectant</t>
  </si>
  <si>
    <t>Propylene glycol \= Co-solvent, humectant</t>
  </si>
  <si>
    <t>SLS \= Surfactant</t>
  </si>
  <si>
    <t>Mineral oil \= Emollient</t>
  </si>
  <si>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</si>
  <si>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2565 ข้อ 39</t>
  </si>
  <si>
    <t>หากผู้ป่วยได้รับยา aminophylline IV วัดระดับยาในเลือดได้ 68 mcg/ml ถ้า aminophylline มี half life 7 ชั่วโมง จะมีระดับยาเท่าไรเมื่อเวลาผ่านไป 28 ชั่วโมง</t>
  </si>
  <si>
    <t>[แนบรูป: ข้อสอบ Product ปี 2564 รหัสรูปภาพ image68]</t>
  </si>
  <si>
    <t>2.125</t>
  </si>
  <si>
    <t>4.25</t>
  </si>
  <si>
    <t>8.5</t>
  </si>
  <si>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</si>
  <si>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</si>
  <si>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t>
  </si>
  <si>
    <t>เครื่องมือใดใช้ในการวัดขนาดอนุภาคของยาผง Dry powder for inhalation</t>
  </si>
  <si>
    <t>Zn determination   ใช้วิเคราะห์ปริมาณธาตุสังกะสี ไม่เกี่ยวกับการวัดขนาดอนุภาค</t>
  </si>
  <si>
    <t>Cascade impactor</t>
  </si>
  <si>
    <t>Light microscopy  วัดขนาดหรือรูปร่างอนุภาคได้ แต่ไม่วัด aerodynamic particle size ซึ่งเป็นค่าที่สำคัญสำหรับยาสูดพ่น</t>
  </si>
  <si>
    <t>Scanning electron microscope (SEM)  ใช้ดูรูปร่างและพื้นผิวของอนุภาคที่กำลังขยายสูง แต่ไม่ใช้วัดการกระจายขนาดเชิงอากาศพลศาสตร์</t>
  </si>
  <si>
    <t>Meter valve  เป็นชิ้นส่วนของ Metered Dose Inhaler (MDI)</t>
  </si>
  <si>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</si>
  <si>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3</t>
  </si>
  <si>
    <t>สารในข้อใดใช้ทํา cavity ของ blister pack เพื่อป้องกันความชื้น</t>
  </si>
  <si>
    <t>Polyvinyl Chloride (PVC)  ใช้ทำ blister pack ได้ แต่กันความชื้นไม่ดี</t>
  </si>
  <si>
    <t>Polypropylene (PP) ทนความร้อนดี แต่คุณสมบัติกันความชื้นไม่เด่นเท่า PCTFE</t>
  </si>
  <si>
    <t>Polyvinylidene Chloride (PVDC)  กันความชื้นดี และมักใช้ เคลือบบน PVC เพื่อเพิ่ม barrier แต่ไม่ใช่วัสดุหลักของ cavity ในคำถามนี้</t>
  </si>
  <si>
    <t>Polyethylene (PE)  ใช้ทำบรรจุภัณฑ์ทั่วไป ไม่ใช่วัสดุหลักสำหรับ blister ที่ต้องการป้องกันความชื้นสูง</t>
  </si>
  <si>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</si>
  <si>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</si>
  <si>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2564 ข้อ 9</t>
  </si>
  <si>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</si>
  <si>
    <t>C</t>
  </si>
  <si>
    <t>D</t>
  </si>
  <si>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</si>
  <si>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</si>
  <si>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13</t>
  </si>
  <si>
    <t>ให้สูตรตํารับมา ถามว่า Bentonite ทําหน้าที่อะไรในตํารับ</t>
  </si>
  <si>
    <t>Suspending agent</t>
  </si>
  <si>
    <t>Adsorbent</t>
  </si>
  <si>
    <t>Emulsifier</t>
  </si>
  <si>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</si>
  <si>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</si>
  <si>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26</t>
  </si>
  <si>
    <t>Nystatin 100,000 Unit/ml Sig. ½ tsp qid 4 days ผลิตภัณฑ์ในท้องตลาดพบว่า มี Nystatin 100,000 Unit/ml ปริมาตร 12 mL/ขวด ผู้ป่วยรายนี้ต้องใช้กี่ขวด</t>
  </si>
  <si>
    <t>1 ขวด</t>
  </si>
  <si>
    <t>2 ขวด</t>
  </si>
  <si>
    <t>4 ขวด</t>
  </si>
  <si>
    <t>8 ขวด</t>
  </si>
  <si>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</si>
  <si>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</si>
  <si>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27</t>
  </si>
  <si>
    <t>ต้องใช้ Terramycin กี่มิลลิกรัม</t>
  </si>
  <si>
    <t>18 mg</t>
  </si>
  <si>
    <t>0.18 mg</t>
  </si>
  <si>
    <t>180 mg</t>
  </si>
  <si>
    <t>จำไม่ได้ คำอธิบาย: 1 fl oz ≈ 30 mL ดังนั้นเขาต้องการยา 2 fl oz \= 60 ml Terramycin 0.3% in 100ml \= 300mg/100ml Terramycin ??? mg in 60ml \= 300mg/100ml x 60 ml \= 180 mg ดังนั้นจึงตอบ ค. 180 mg</t>
  </si>
  <si>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</si>
  <si>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41</t>
  </si>
  <si>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</si>
  <si>
    <t>1.5 ml</t>
  </si>
  <si>
    <t>3 ml</t>
  </si>
  <si>
    <t>300 ml คำอธิบาย: คำนวนปริมาณยา 20 ng/kg/ครั้ง x 50 kg \= 1000 ng/ครั้ง \= 1 μg/ครั้ง 1 μg/ครั้ง x 3 ครั้ง/สัปดาห์ x 2 สัปดาห์ \= 6 μg 6 μg / (2 μg/ml) \= 3 ml ดังนั้นจึงตอบ ข. 3 ml</t>
  </si>
  <si>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</si>
  <si>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43</t>
  </si>
  <si>
    <t>propellant ที่นิยมใน MDI</t>
  </si>
  <si>
    <t>[แนบรูป: ข้อสอบ Product ปี 2564 รหัสรูปภาพ image77]</t>
  </si>
  <si>
    <t>N2O</t>
  </si>
  <si>
    <t>Propane</t>
  </si>
  <si>
    <t>Hydrocarbon</t>
  </si>
  <si>
    <t>Hydrofluoroalkane</t>
  </si>
  <si>
    <t>Hydrofluorocarbon คำอธิบาย: [แนบรูป: ข้อสอบ Product ปี 2564 รหัสรูปภาพ image77]</t>
  </si>
  <si>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</si>
  <si>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48</t>
  </si>
  <si>
    <t>Ringer's ผสมกับ ceftriaxone จะเกิดอะไรขึ้น</t>
  </si>
  <si>
    <t>ตกตะกอน</t>
  </si>
  <si>
    <t>pH เปลี่ยน</t>
  </si>
  <si>
    <t>เกิดกลิ่นไม่พึงประสงค์</t>
  </si>
  <si>
    <t>เกิดฟอง</t>
  </si>
  <si>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</si>
  <si>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</si>
  <si>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55</t>
  </si>
  <si>
    <t>ทำ calcium effervescent ข้อใดถูกต้อง</t>
  </si>
  <si>
    <t>Moisture content ไมเกิน 50%</t>
  </si>
  <si>
    <t>มี sodium bicarb \+ ascorbic acid</t>
  </si>
  <si>
    <t>มี low key resisted content</t>
  </si>
  <si>
    <t>- ตอบ ไม่มีคำตอบ choice ไม่ครบ</t>
  </si>
  <si>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</si>
  <si>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56</t>
  </si>
  <si>
    <t>จากสูตรตำรับนี้ bentonite ทำหน้าที่อะไร Calamine 15 g Zn oxide 5 g Bentonite 3 g Sodium citrate 0.3 g Glycerin 5 ml Purified water 100 ml</t>
  </si>
  <si>
    <t>Coloring agent</t>
  </si>
  <si>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</si>
  <si>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</si>
  <si>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60</t>
  </si>
  <si>
    <t>หากยาเคลือบมีปัญหา bridging of logo จะมีวิธีแก้ปัญหาอย่างไร</t>
  </si>
  <si>
    <t>เพิ่ม talcum ❌ ช่วยลดการติด (anti-tacking) ไม่แก้ bridging</t>
  </si>
  <si>
    <t>ทำให้ตัวอักษรลึกขึ้น</t>
  </si>
  <si>
    <t>เพิ่ม plasticizer ❌ ช่วยให้ฟิล์มยืดหยุ่น ไม่ได้แก้ปัญหาโลโก้ถูกปิด</t>
  </si>
  <si>
    <t>เพิ่ม opacifier ❌ เปลี่ยนความทึบแสง ไม่เกี่ยวกับ bridging</t>
  </si>
  <si>
    <t>เพิ่มอุณหภูมิของหม้อเคลือบ ❌ อาจช่วยให้แห้งเร็วขึ้น แต่ไม่ใช่วิธีหลักในการแก้ bridging</t>
  </si>
  <si>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</si>
  <si>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68</t>
  </si>
  <si>
    <t>FeSO4 มีมวลโมเลกุล 152 ต้องการเตรียมสารความเข้มข้น 0.2 Molar ปริมาตร 1 ลิตร ต้องใช้ FeSO4 กี่กรัม</t>
  </si>
  <si>
    <t>304</t>
  </si>
  <si>
    <t>28.83</t>
  </si>
  <si>
    <t>30.4</t>
  </si>
  <si>
    <t>15.2 คำอธิบาย: จากสูตร mol \= g/Mw และ Molar \= mol / V จะได้ 		g \= Molar x V x Mw แทนค่า		g \= 0.2 x 1 x 152 g \= 30.4</t>
  </si>
  <si>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</si>
  <si>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76</t>
  </si>
  <si>
    <t>ยา X ปริมาณ 150 mg มีปริมาณตัวยาสาคัญ 142 mg มีปริมาณน้ำ 4.72% จะมี %label amount ของตัวยาที่ไม่มีน้ำเท่าไหร่</t>
  </si>
  <si>
    <t>90.4</t>
  </si>
  <si>
    <t>94.7</t>
  </si>
  <si>
    <t>95.7</t>
  </si>
  <si>
    <t>98.9</t>
  </si>
  <si>
    <t>100.5 คำอธิบาย:[แนบรูป: ข้อสอบ Product ปี 2564 รหัสรูปภาพ image86] จากสูตร 	\[Q/T/(100-W/100)\] x 100 แทนค่า		\[(142/150)/(100-4.72/100)\] x 100 \= 99.35 ดังนั้นจึงประมาณเป็น D. 98.9</t>
  </si>
  <si>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</si>
  <si>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94</t>
  </si>
  <si>
    <t>ข้อใดเป็น preservatives ในตำรับนี้</t>
  </si>
  <si>
    <t>Dexamethasone ❌ → ตัวยาสำคัญ (corticosteroid)</t>
  </si>
  <si>
    <t>Benzyl alcohol ✅ → Preservative</t>
  </si>
  <si>
    <t>Sodium chloride ❌ → ปรับความเป็น isotonic</t>
  </si>
  <si>
    <t>Sodium hydroxide ❌ → ปรับ pH</t>
  </si>
  <si>
    <t>Polysorbate 80 ❌ → Surfactant / Emulsifier / Solubilizer</t>
  </si>
  <si>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</si>
  <si>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104</t>
  </si>
  <si>
    <t>ครีม betamethasone valerate 0.1% คิด %label amout ได้ 100 ถ้าในครีม 1 g จะมียาเท่าไร</t>
  </si>
  <si>
    <t>betamethasone 1 mg</t>
  </si>
  <si>
    <t>betamethasone 10 mg</t>
  </si>
  <si>
    <t>betamethasone valerate 0.1 mg</t>
  </si>
  <si>
    <t>betamethasone valerate 1 mg</t>
  </si>
  <si>
    <t>betamethasone valerate 10 mg คำอธิบาย: betamethasone valerate 0.1% 	\= betamethasone valerate 0.1 g / 100 g \= betamethasone valerate 100 mg / 100 g betamethasone valerate 0.1% 1 g 	\= 100 mg / 100 g x 1 g \= 1 mg</t>
  </si>
  <si>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</si>
  <si>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106</t>
  </si>
  <si>
    <t>จะหา corticosteroids systemic equivalency ได้จากหนังสือใด</t>
  </si>
  <si>
    <t>Drug information handbook</t>
  </si>
  <si>
    <t>British Formula (BNF) ❌ เน้นแนวทางการใช้ยาและการสั่งใช้ ไม่ใช่แหล่งหลักของตารางนี้</t>
  </si>
  <si>
    <t>Martindale ❌ ข้อมูลยาละเอียด แต่ไม่ใช่แหล่งที่นิยมเปิดหาตาราง equivalency</t>
  </si>
  <si>
    <t>USP ❌ มาตรฐานคุณภาพยา ไม่ใช่ข้อมูลทางคลินิก</t>
  </si>
  <si>
    <t>MIMS ❌ เน้นข้อมูลผลิตภัณฑ์และข้อบ่งใช้</t>
  </si>
  <si>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</si>
  <si>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122</t>
  </si>
  <si>
    <t>ต้องการค้นข้อมูลเกี่ยวกับยาที่เป็นปัจจุบันควรค้นจากฐานข้อมูลใดดีที่สุด</t>
  </si>
  <si>
    <t>Drug Information Handbook ❌ เป็นตำราอ้างอิง ใช้ง่าย แต่ไม่ได้อัปเดตเร็วเท่างานวิจัย</t>
  </si>
  <si>
    <t>Drug Facts and Comparisons ❌ เน้นข้อมูลเปรียบเทียบยา ไม่ใช่ฐานข้อมูลงานวิจัยล่าสุด</t>
  </si>
  <si>
    <t>AHFS (American Hospital Formulary Service) ❌ เป็นแหล่งข้อมูลยาแบบ monograph แต่ไม่ใช่ฐานข้อมูลงานวิจัยล่าสุด</t>
  </si>
  <si>
    <t>PubMed ✅ ฐานข้อมูลบทความวิจัยทางการแพทย์ที่ทันสมัย</t>
  </si>
  <si>
    <t>Pharmacotherapy Handbook ❌ ตำราเรียนด้านการรักษา</t>
  </si>
  <si>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</si>
  <si>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128</t>
  </si>
  <si>
    <t>ข้อใดไม่ใช่คุณสมบัติในการออกแบบ Ideal inhale corticosteroid</t>
  </si>
  <si>
    <t>High lipophilicity</t>
  </si>
  <si>
    <t>High affinity steroid receptor</t>
  </si>
  <si>
    <t>High systemic absorption</t>
  </si>
  <si>
    <t>Topical action</t>
  </si>
  <si>
    <t>Less side effect คำอธิบาย: Ideal inhaled corticosteroid ต้องการ ออกฤทธิ์เฉพาะที่ปอด (topical action) และมี systemic absorption ต่ำ เพื่อลดผลข้างเคียงทั่วร่างกาย</t>
  </si>
  <si>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</si>
  <si>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133</t>
  </si>
  <si>
    <t>ยาเปลี่ยนสีจากปฏิกิริยา oxidation ควรเติมสารใด</t>
  </si>
  <si>
    <t>PEG ❌ Cosolvent / base</t>
  </si>
  <si>
    <t>Glycerin ❌ Humectant / cosolvent</t>
  </si>
  <si>
    <t>Sodium metabisulfite ✅ Antioxidant</t>
  </si>
  <si>
    <t>Benzalkonium chloride ❌ Preservative</t>
  </si>
  <si>
    <t>Cyclodextrin ❌ ช่วยเพิ่มการละลายและความคงตัวของยา ไม่ใช่ antioxidant</t>
  </si>
  <si>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</si>
  <si>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141</t>
  </si>
  <si>
    <t>เตรียม atenolol 0.2% 50 ml ต้องใช้ atenolol (25 mg/tab) กี่เม็ด</t>
  </si>
  <si>
    <t>6 คำอธิบาย: 0.2 g/100ml x 50ml \= 0.1g \=100mg ดังนั้นต้องใช้ 4 เม็ด</t>
  </si>
  <si>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</si>
  <si>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142</t>
  </si>
  <si>
    <t>ข้อใดคือวิธีแก้ไขปัญหาสารนอนก้นเร็วของตำรับยาน้ำแขวนตะกอน</t>
  </si>
  <si>
    <t>เพิ่มความหนืด ✅ ลดอัตราการตกตะกอน</t>
  </si>
  <si>
    <t>เพิ่มขนาดอนุภาค ❌ อนุภาคใหญ่ตกเร็วขึ้น</t>
  </si>
  <si>
    <t>เพิ่มสารช่วยเปียก ❌ ช่วยให้ผงกระจายตัว ไม่ได้ลดการตกตะกอนโดยตรง</t>
  </si>
  <si>
    <t>เพิ่มอุณหภูมิของตำรับ ❌ ความหนืดลดลง ทำให้ตกเร็วขึ้น</t>
  </si>
  <si>
    <t>ทำให้ความหนาแน่นของ 2 วัฏภาคต่างกันมาก ๆ ❌ ยิ่งต่างกันมาก ยิ่งตกเร็ว</t>
  </si>
  <si>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</si>
  <si>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155</t>
  </si>
  <si>
    <t>ในการผลิตยาต้านวัณโรค การควบคุมคุณภาพตาม USP กำหนดว่าห้ามพบเชื้อใด</t>
  </si>
  <si>
    <t>E. coli</t>
  </si>
  <si>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</si>
  <si>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</si>
  <si>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163</t>
  </si>
  <si>
    <t>ในขั้นตอน method validation ควรทดสอบใดเป็นอันดับแรก</t>
  </si>
  <si>
    <t>Precisions</t>
  </si>
  <si>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</si>
  <si>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</si>
  <si>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2564 ข้อ 168</t>
  </si>
  <si>
    <t>พืชที่ประกอบด้วย sulfur-containing compound หลายชนิด ข้อใดน่าจะเกิด herb-drug interaction กับกลุ่มยาต้านเกล็ดเลือดมากที่สุด?</t>
  </si>
  <si>
    <t>ขิง ❌ มีฤทธิ์ต้านเกล็ดเลือดได้เล็กน้อย แต่ไม่เด่นด้าน sulfur compound</t>
  </si>
  <si>
    <t>แปะก๊วย ❌ มีผลต่อ platelet ได้ แต่สารสำคัญเป็น flavonoids/terpenoids</t>
  </si>
  <si>
    <t>กระเทียม ✅ มี sulfur compounds → antiplatelet effect</t>
  </si>
  <si>
    <t>ชุมเห็ดเทศ ❌ ใช้เป็นยาระบาย</t>
  </si>
  <si>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</si>
  <si>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</si>
  <si>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2564 ข้อ 183</t>
  </si>
  <si>
    <t>FeSO4 มีมวลโมเลกุล 152 ต้องการเตรียมสารความเข้มข้น 0.2 Molar ปริมาตร 1 ลิตร ต้องใช้ FeSO4 กี่กรัม ต้นฉบับ: Day 2 ข้อ 53</t>
  </si>
  <si>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</si>
  <si>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</si>
  <si>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4</t>
  </si>
  <si>
    <t>ข้อใดเป็นการทดสอบ Specific test สำหรับ risedronate ต้นฉบับ: Day 1 ข้อ 65</t>
  </si>
  <si>
    <t>Water determination</t>
  </si>
  <si>
    <t xml:space="preserve">pH | คำตอบ: d) Water determination เพราะอยู่ในหมวด specific test ของ monograph ของ risedronate sodium ข้อที่ไม่ถูก a) b) c) และ e) ไม่ใช่ specific test แต่เป็น universal test | | :---- | </t>
  </si>
  <si>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</si>
  <si>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8</t>
  </si>
  <si>
    <t>Metformin ฟิล์มเคลือบแตก (film cracking) เกิดจากสาเหตุใด ต้นฉบับ: Day 1 ข้อ 11</t>
  </si>
  <si>
    <t>สารให้ความยืดหยุ่นน้อยเกินไป</t>
  </si>
  <si>
    <t>อุณหภูมิต่ำเกินไป</t>
  </si>
  <si>
    <t>หมุนหม้อเร็วเกิน</t>
  </si>
  <si>
    <t>พ่นสารเคลือบช้าเกิน</t>
  </si>
  <si>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</si>
  <si>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</si>
  <si>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17</t>
  </si>
  <si>
    <t>หากยาเคลือบมีปัญหา bridging of logo จะมีวิธีการแก้ปัญหาอย่างไร ต้นฉบับ: Day 2 ข้อ 26</t>
  </si>
  <si>
    <t>เพิ่ม talcum</t>
  </si>
  <si>
    <t>เพิ่มปริมาณ plasticizer</t>
  </si>
  <si>
    <t>เพิ่มปริมาณ opacifier</t>
  </si>
  <si>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</si>
  <si>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</si>
  <si>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31</t>
  </si>
  <si>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</si>
  <si>
    <t>[แนบรูป: ข้อสอบ Product ปี 2563 รหัสรูปภาพ image99]</t>
  </si>
  <si>
    <t>C และ D</t>
  </si>
  <si>
    <t>D และ A</t>
  </si>
  <si>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</si>
  <si>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</si>
  <si>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35</t>
  </si>
  <si>
    <t>ระบบ osmotic-controlled drug delivery ข้อใดถูก ต้นฉบับ: Day 2 ข้อ 112</t>
  </si>
  <si>
    <t>ปล่อยยาแบบ Zero order</t>
  </si>
  <si>
    <t>การผลิตใช้ราคาถูกกว่า</t>
  </si>
  <si>
    <t>เป็นระบบที่สามารถย่อยสลายได้ในร่างกาย</t>
  </si>
  <si>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</si>
  <si>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</si>
  <si>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37</t>
  </si>
  <si>
    <t>วัคซีน Dengue เป็นเชื้อเป็นอ่อนฤทธิ์ ทำโดยวิธี lyophilization สารใดช่วยรักษาความคงตัวของแอนติเจน ต้นฉบับ: Day 1 ข้อ 55</t>
  </si>
  <si>
    <t>Beta propiolactone</t>
  </si>
  <si>
    <t>Thimerosal</t>
  </si>
  <si>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</si>
  <si>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</si>
  <si>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2563 ข้อ 65</t>
  </si>
  <si>
    <t>ยาที่จะทำให้อยู่ในรูปของ control release จะต้องมีคุณสมบัติอย่างไร</t>
  </si>
  <si>
    <t>ยาละลายน้ำได้ดี</t>
  </si>
  <si>
    <t>มีค่าครึ่งชีวิตยาว</t>
  </si>
  <si>
    <t>มีดัชนีการรักษาแคบ</t>
  </si>
  <si>
    <t>สลายตัวได้ง่ายที่สภาวะเป็นกรด</t>
  </si>
  <si>
    <t>เหมาะกับยาที่มีโมเลกุลขนาดใหญ่</t>
  </si>
  <si>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</si>
  <si>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3</t>
  </si>
  <si>
    <t>ส่วนประกอบของสูตรเคลือบฟิล์มของยา ferrous sulfate ข้อใดถูกต้อง</t>
  </si>
  <si>
    <t>Talcum ทำหน้าที่เป็นสารก่อฟิล์ม</t>
  </si>
  <si>
    <t>Ethyl alcohol ทำหน้าที่เป็น antioxidant</t>
  </si>
  <si>
    <t>Propylene glycol ทำหน้าที่เป็น plasticizer</t>
  </si>
  <si>
    <t>Titanium dioxide ทำหน้าที่เป็นสารก่อฟิล์ม</t>
  </si>
  <si>
    <t>Hydroxymethylpropyl cellulose ทำหน้าที่เป็นสารทึบแสง</t>
  </si>
  <si>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</si>
  <si>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4</t>
  </si>
  <si>
    <t>จากระบบยาข้อ 59 ตัวยามีการปลดปล่อยด้วยปฏิกิริยาลำดับใด</t>
  </si>
  <si>
    <t>Pseudo zero order</t>
  </si>
  <si>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</si>
  <si>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14</t>
  </si>
  <si>
    <t>Polysorbate 80 ทำหน้าที่ใดในตำรับ</t>
  </si>
  <si>
    <t>Anti-oxidant</t>
  </si>
  <si>
    <t>Reducing agent</t>
  </si>
  <si>
    <t>Solubilizing agent</t>
  </si>
  <si>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</si>
  <si>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23</t>
  </si>
  <si>
    <t>หากต้องการเพาะเชื้อเพื่อนับจำนวนเชื้อวิธีใดเหมาะสมที่สุด</t>
  </si>
  <si>
    <t>Pour plate</t>
  </si>
  <si>
    <t>Spread plate</t>
  </si>
  <si>
    <t>Agar slant</t>
  </si>
  <si>
    <t>Three sector streak</t>
  </si>
  <si>
    <t>Quadrant streak</t>
  </si>
  <si>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</si>
  <si>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27</t>
  </si>
  <si>
    <t>หากเพาะเชื้อโดยใช้อาหาร aerobic bacteria จะไม่สามารถตรวจพบเชื้อใด</t>
  </si>
  <si>
    <t>S. aureaus</t>
  </si>
  <si>
    <t>H. influenzae</t>
  </si>
  <si>
    <t>Clostridium botulinum</t>
  </si>
  <si>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</si>
  <si>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28</t>
  </si>
  <si>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</si>
  <si>
    <t>[แนบรูป: ข้อสอบ Product ปี 2561 รหัสรูปภาพ image107]</t>
  </si>
  <si>
    <t>2 ปี</t>
  </si>
  <si>
    <t>3 ปี</t>
  </si>
  <si>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</si>
  <si>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29</t>
  </si>
  <si>
    <t>ยา HCTZ 25 mg/tab น้ำหนักเม็ดยา 1 เม็ดเท่ากับ 100 mg ควรทดสอบในหัวข้อ uniformity of dosage unit USP41 อย่างไร</t>
  </si>
  <si>
    <t>WV เพราะตัวยาสำคัญตั้งแต่ 25 mg ขึ้นไป</t>
  </si>
  <si>
    <t>CU เพราะตัวยาสำคัญ น้อยกว่า 25 mg และสัดส่วนตัวยาสำคัญ คิดเป็น 25%</t>
  </si>
  <si>
    <t>CU เพราะตัวยาสำคัญ น้อยกว่า 25 mg หรือสัดส่วนตัวยาสำคัญ คิดเป็น 25%</t>
  </si>
  <si>
    <t>WV เพราะตัวยาสำคัญตั้งแต่ 25 mg และสัดส่วนตัวยาสำคัญ คิดเป็น 25%</t>
  </si>
  <si>
    <t>WV เพราะตัวยาสำคัญตั้งแต่ 25 mg หรือสัดส่วนตัวยาสำคัญ คิดเป็น 25%</t>
  </si>
  <si>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</si>
  <si>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32</t>
  </si>
  <si>
    <t>ข้อใดไม่ใช่คุณสมบัติในการออกแบบ ideal inhale corticosteroid</t>
  </si>
  <si>
    <t>High system absorption</t>
  </si>
  <si>
    <t>Less side effect</t>
  </si>
  <si>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</si>
  <si>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33</t>
  </si>
  <si>
    <t>ข้อใดไม่ใช่เทคนิค ในการทำยาที่ดูดซึมผ่านผิวหนัง</t>
  </si>
  <si>
    <t>Microneedle</t>
  </si>
  <si>
    <t>Iontophoresis</t>
  </si>
  <si>
    <t>Gamma radiation</t>
  </si>
  <si>
    <t>Passive diffusion</t>
  </si>
  <si>
    <t>Permeable enhancer</t>
  </si>
  <si>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</si>
  <si>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38</t>
  </si>
  <si>
    <t>หากต้องการเตรียม atenolol 0.2%w/v ปริมาตร 50 ml จะต้องใช้ atenolol 25 mg/tab จำนวนกี่เม็ด</t>
  </si>
  <si>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</si>
  <si>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43</t>
  </si>
  <si>
    <t>ข้อใดคือสภาวะในการทดสอบความคงตัวของยาในประเทศไทย</t>
  </si>
  <si>
    <t>25°C / 70% RH</t>
  </si>
  <si>
    <t>25°C / 75% RH</t>
  </si>
  <si>
    <t>30°C / 70% RH</t>
  </si>
  <si>
    <t>30°C / 75% RH</t>
  </si>
  <si>
    <t>40°C / 70% RH</t>
  </si>
  <si>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</si>
  <si>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44</t>
  </si>
  <si>
    <t>การบรรจุ diazepam IV ควรทำในห้องสะอาดระดับใด</t>
  </si>
  <si>
    <t>E</t>
  </si>
  <si>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</si>
  <si>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50</t>
  </si>
  <si>
    <t>บรรจุภัณฑ์ใดเหมาะกับยาที่ไม่ทนแสง และเชื้อ</t>
  </si>
  <si>
    <t>PE bottle</t>
  </si>
  <si>
    <t>PVC bottle</t>
  </si>
  <si>
    <t>Glass amber type ll</t>
  </si>
  <si>
    <t>Glass amber type lll</t>
  </si>
  <si>
    <t>Hermetic tight light container</t>
  </si>
  <si>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</si>
  <si>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2561 ข้อ 61</t>
  </si>
  <si>
    <t>ยาคุมกำเนิด Norplant® มีตัวยา levonorgestrel ลักษณะเป็นผลึกรูปทรงกระบอก ไม่มีรูพรุน คุมกำเนิดได้นาน 5 ปี ข้อใดไม่มีผลต่อการปลดปล่อยยา</t>
  </si>
  <si>
    <t>Solubility</t>
  </si>
  <si>
    <t>Device shape</t>
  </si>
  <si>
    <t>Partition coefficient</t>
  </si>
  <si>
    <t>Diffusion coefficient of drug</t>
  </si>
  <si>
    <t>Physiological pH of implant site</t>
  </si>
  <si>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</si>
  <si>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62</t>
  </si>
  <si>
    <t>สาร sodium metabisulfite ทำหน้าที่อะไร</t>
  </si>
  <si>
    <t>ป้องกัน hydrolysis</t>
  </si>
  <si>
    <t>ป้องกัน oxidation</t>
  </si>
  <si>
    <t>ป้องกัน reduction</t>
  </si>
  <si>
    <t>ป้องกัน precipitation</t>
  </si>
  <si>
    <t>ป้องกัน microbial growth</t>
  </si>
  <si>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</si>
  <si>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64</t>
  </si>
  <si>
    <t>หากต้องการเปลี่ยน sweetening agent จาก sucrose เป็นสารอื่นไม่ควรใช้สารใด</t>
  </si>
  <si>
    <t>PG</t>
  </si>
  <si>
    <t>PEG</t>
  </si>
  <si>
    <t>Saccharin sodium</t>
  </si>
  <si>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</si>
  <si>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65</t>
  </si>
  <si>
    <t>จากสูตรยาถ้าต้องการเตรียม morphine sulphate ปริมาตร 2 L จะต้องใช้ morphine sulphate กี่กรัม</t>
  </si>
  <si>
    <t>0.2 g</t>
  </si>
  <si>
    <t>0.4 g</t>
  </si>
  <si>
    <t>2 g</t>
  </si>
  <si>
    <t>4 g</t>
  </si>
  <si>
    <t>20 g</t>
  </si>
  <si>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</si>
  <si>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66</t>
  </si>
  <si>
    <t>หากบริษัทต้องการทำการทดสอบ long term stability ของยา sitagliptin ต้องทำการทดสอบที่สภาวะใด อ้างอิงตาม ASEAN guideline</t>
  </si>
  <si>
    <t>25°C/65%RH</t>
  </si>
  <si>
    <t>25°C/75%RH</t>
  </si>
  <si>
    <t>30°C/65%RH</t>
  </si>
  <si>
    <t>30°C/75%RH</t>
  </si>
  <si>
    <t>40°C/75%RH</t>
  </si>
  <si>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</si>
  <si>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2561 ข้อ 68</t>
  </si>
  <si>
    <t>Clonazepam 0.5 mg ควรใช้วิธีใดในการตอกเม็ด</t>
  </si>
  <si>
    <t>Fusion method</t>
  </si>
  <si>
    <t>Melting method</t>
  </si>
  <si>
    <t>Dry granulation</t>
  </si>
  <si>
    <t>Wet granulation</t>
  </si>
  <si>
    <t>Direct compression</t>
  </si>
  <si>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</si>
  <si>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70</t>
  </si>
  <si>
    <t>ข้อใดคือเครื่องวัดขนาดของ aerosol</t>
  </si>
  <si>
    <t>XRPD</t>
  </si>
  <si>
    <t>Microscopy</t>
  </si>
  <si>
    <t>Laser with labelling</t>
  </si>
  <si>
    <t>Dynamic light scattering</t>
  </si>
  <si>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</si>
  <si>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74</t>
  </si>
  <si>
    <t>ยา sodium alendronate จัดอยู่ใน biopharmaceutical classification system (BCS) Class ใด</t>
  </si>
  <si>
    <t>Non</t>
  </si>
  <si>
    <t>BCS I</t>
  </si>
  <si>
    <t>BCS II</t>
  </si>
  <si>
    <t>BCS III</t>
  </si>
  <si>
    <t>BCS IV</t>
  </si>
  <si>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</si>
  <si>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78</t>
  </si>
  <si>
    <t>ยา A มี bulk density ต่ำ compressibility ไม่ดี และสลายโดยปฏิกิริยา hydrolysis ควรใช้วิธีการตอกอัดเม็ดแบบใด</t>
  </si>
  <si>
    <t>Direct compression หรือ dry granulation</t>
  </si>
  <si>
    <t>Wet (organic solution) หรือ dry granulation</t>
  </si>
  <si>
    <t>Wet (aqueous solution) หรือ dry granulation</t>
  </si>
  <si>
    <t>Wet (aqueous solution) granulation หรือ direct compression</t>
  </si>
  <si>
    <t>Wet (aqueous solution) หรือ wet (organic solution) granulation</t>
  </si>
  <si>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</si>
  <si>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80</t>
  </si>
  <si>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</si>
  <si>
    <t>Sustained release</t>
  </si>
  <si>
    <t>Extended release</t>
  </si>
  <si>
    <t>Delayed release</t>
  </si>
  <si>
    <t>Prolong release</t>
  </si>
  <si>
    <t>Pump osmotic release</t>
  </si>
  <si>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</si>
  <si>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81</t>
  </si>
  <si>
    <t>ข้อใดไม่ใช่ข้อดีของยาในรูปแบบที่ควบคุมการปลดปล่อย (sustained release)</t>
  </si>
  <si>
    <t>ลดอาการข้างเคียง</t>
  </si>
  <si>
    <t>ปรับขนาดยาง่ายขึ้น</t>
  </si>
  <si>
    <t>ลดความถี่ในการใช้ยา</t>
  </si>
  <si>
    <t>เพิ่มการยอมรับของผู้ป่วย</t>
  </si>
  <si>
    <t>ลดความแกว่งของยาในเลือด</t>
  </si>
  <si>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</si>
  <si>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82</t>
  </si>
  <si>
    <t>เคลือบ simvastatin แล้วมีรอยแบ่งและข้อความบนเม็ดยาไม่ชัดเจน คือลักษณะเม็ดยาในข้อใด</t>
  </si>
  <si>
    <t>Pricking</t>
  </si>
  <si>
    <t>Bridging</t>
  </si>
  <si>
    <t>Blistering</t>
  </si>
  <si>
    <t>Cracking</t>
  </si>
  <si>
    <t>Orange peeling</t>
  </si>
  <si>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</si>
  <si>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2561 ข้อ 84</t>
  </si>
  <si>
    <t>จากตำรับข้อ 87 เมื่อนำมาหยด amaranth aqueous solution แล้วพบสีแดงเป็นพื้นแดงพบจุดขาวด้านใน</t>
  </si>
  <si>
    <t>เป็นอิมัลชันแบบ W/O</t>
  </si>
  <si>
    <t>ตำรับสามารถนำไฟฟ้าได้</t>
  </si>
  <si>
    <t>เป็นอิมัลชันแบบ O/W</t>
  </si>
  <si>
    <t>เมื่อเติมน้ำเข้าไปแล้วตำรับเกิดการแยกชั้นขึ้น</t>
  </si>
  <si>
    <t>เมื่อนำไปส่อง fluorescence จะเรืองแสงทั้งแผ่น</t>
  </si>
  <si>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</si>
  <si>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88</t>
  </si>
  <si>
    <t>จากข้อข้างต้นยา azole จะอยู่ในตำแหน่งใดของระบบนำส่งยา</t>
  </si>
  <si>
    <t>A และ C</t>
  </si>
  <si>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</si>
  <si>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97</t>
  </si>
  <si>
    <t>ข้อใดไม่จำเป็นต้องตรวจสอบใน metronidazole solution for injection</t>
  </si>
  <si>
    <t>Clarity test</t>
  </si>
  <si>
    <t>Leaker test</t>
  </si>
  <si>
    <t>Sterility test</t>
  </si>
  <si>
    <t>Endotoxin test</t>
  </si>
  <si>
    <t>Preservative effectiveness</t>
  </si>
  <si>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</si>
  <si>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98</t>
  </si>
  <si>
    <t>ตามระบบ GMP ห้อง mixing room ในการเตรียม cloxacillin sterile injection ข้อใดถูกต้อง</t>
  </si>
  <si>
    <t>มีความชื้นในห้อง 75 % RH</t>
  </si>
  <si>
    <t>ระบบลมเป็นแบบ multi-directional place</t>
  </si>
  <si>
    <t>ทำความสะอาดเครื่องผสมแบบ clean in place</t>
  </si>
  <si>
    <t>ความดันภายในห้องเตรียมยาเท่ากับห้องโถง (corridor)</t>
  </si>
  <si>
    <t>ต้องมี HEPA filter ดูดอากาศเอาอนุภาคออกด้วยก่อนปล่อยสู่สิ่งแวดล้อม</t>
  </si>
  <si>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</si>
  <si>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2561 ข้อ 99</t>
  </si>
  <si>
    <t>การเคลือบ vitamin B complex มีขั้นตอนอย่างไร</t>
  </si>
  <si>
    <t>Sealing \&gt; subcoating \&gt; smoothing \&gt; color coating \&gt;</t>
  </si>
  <si>
    <t>Smoothing \&gt; subcoating \&gt; sealing \&gt; color coating \&gt; polishing</t>
  </si>
  <si>
    <t>Subcoating \&gt; sealing \&gt; smoothing \&gt; color coating \&gt; polishing</t>
  </si>
  <si>
    <t>Subcoating \&gt; smoothing \&gt; color coating \&gt; polishing \&gt; printing</t>
  </si>
  <si>
    <t>Sealing \&gt; subcoating \&gt; color coating \&gt; polishing \&gt; smoothing</t>
  </si>
  <si>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</si>
  <si>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100</t>
  </si>
  <si>
    <t>หากต้องการให้ ASA ออกฤทธิ์ที่ลำไส้เล็กควรต้องใช้สารเคลือบฟิล์มตัวใด</t>
  </si>
  <si>
    <t>Pectin</t>
  </si>
  <si>
    <t>Chitosan</t>
  </si>
  <si>
    <t>HPMC</t>
  </si>
  <si>
    <t>Polyvinylpyrrolidone K90</t>
  </si>
  <si>
    <t>Cellulose acetate phthalate</t>
  </si>
  <si>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</si>
  <si>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101</t>
  </si>
  <si>
    <t>เตรียม morphine solution extemporaneous ไม่มีข้อมูลความคงตัวตาม USP มีน้ำในสูตรตำรับ กำหนดให้ใช้หลังเตรียมได้ภายในกี่วันหากเก็บใน cold temperature</t>
  </si>
  <si>
    <t>ทันทีที่เตรียมเสร็จ</t>
  </si>
  <si>
    <t>ภายใน 24 ชั่วโมง</t>
  </si>
  <si>
    <t>ภายใน 3 วัน</t>
  </si>
  <si>
    <t>ภายใน 7 วัน</t>
  </si>
  <si>
    <t>ภายใน 14 วัน</t>
  </si>
  <si>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</si>
  <si>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2561 ข้อ 105</t>
  </si>
  <si>
    <t>ตำรับ prednisolone ประกอบด้วย 1-octadecanol, polysorbate 80, poly ethylene glycol, isopropyl myristate, sodium sulfite สารใดในตำรับทำหน้าที่ในการเป็น wetting agent</t>
  </si>
  <si>
    <t>Sodium sulfite</t>
  </si>
  <si>
    <t>1-octadecanol</t>
  </si>
  <si>
    <t>Isopropyl myristate ## ## ##</t>
  </si>
  <si>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</si>
  <si>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2561 ข้อ 113</t>
  </si>
  <si>
    <t>สารที่เป็น propellant ใช้ใน MDI seretide evohaler คือ</t>
  </si>
  <si>
    <t>Nitrogen</t>
  </si>
  <si>
    <t>Hydrocabon</t>
  </si>
  <si>
    <t>Cabondioxide</t>
  </si>
  <si>
    <t>CFCs</t>
  </si>
  <si>
    <t>HFA</t>
  </si>
  <si>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</si>
  <si>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2559 ข้อ 1</t>
  </si>
  <si>
    <t>การบรรจุ insulin; ห้องที่ควรบรรจุควรมีความสะอาดตาม GMP grade ใด</t>
  </si>
  <si>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</si>
  <si>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2559 ข้อ 4</t>
  </si>
  <si>
    <t>Nicotine patch มีการปลดปล่อยแบบใด</t>
  </si>
  <si>
    <t>Pseudofirst order</t>
  </si>
  <si>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</si>
  <si>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วัคซีน OPV ต้องเก็บที่ไหน</t>
  </si>
  <si>
    <t>Freeze</t>
  </si>
  <si>
    <t>Room temp</t>
  </si>
  <si>
    <t>Refrigerator</t>
  </si>
  <si>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</si>
  <si>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2559 ข้อ 10</t>
  </si>
  <si>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</si>
  <si>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2559 ข้อ 14</t>
  </si>
  <si>
    <t>สารที่เป็น propellant ใช้ใน Seretide evohaler คือ</t>
  </si>
  <si>
    <t>Carbondioxide</t>
  </si>
  <si>
    <t>Chlorofluorocarbon</t>
  </si>
  <si>
    <t>HFA 134a</t>
  </si>
  <si>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</si>
  <si>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จากข้อมูล ข้อใดถูกต้อง</t>
  </si>
  <si>
    <t>ผ่านเพราะ ไม่มีเม็ดใดที่ไม่ผ่านการทดสอบ</t>
  </si>
  <si>
    <t>ไม่ผ่านต้องทดสอบซ้ำอีก 6 เม็ด</t>
  </si>
  <si>
    <t>ไม่ผ่านต้องทดสอบซ้ำอีก 12 เม็ด</t>
  </si>
  <si>
    <t>ไม่ผ่านต้องทดสอบซ้ำอีก 24 เม็ด</t>
  </si>
  <si>
    <t>ไม่ผ่าน เพราะ มีเม็ดยาที่ไม่ผ่านการทดสอบ</t>
  </si>
  <si>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</si>
  <si>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ผู้ป่วยจำเป็นจะต้องเปลี่ยน Theophylline เป็น Aminophylline จะต้องใช้ Aminophylline เท่าไหร่ ข้อมูลเพิ่มเติม 		- Theophylline: S \= 1 - Aminophylline: S \= 0.8</t>
  </si>
  <si>
    <t>320 mg</t>
  </si>
  <si>
    <t>500 mg</t>
  </si>
  <si>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</si>
  <si>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2559 ข้อ 9</t>
  </si>
  <si>
    <t>ข้อใดถูกเกี่ยวกับ ibuprofen เคลือบ film</t>
  </si>
  <si>
    <t>ลบรอยขรุขระของเม็ดยาในขั้นตอน sealing ทำให้ยาเรียบ</t>
  </si>
  <si>
    <t>กระบวนการที่ทำให้เม็ดยาหนักขึ้นถึง 40% คือขั้นตอน subcoating</t>
  </si>
  <si>
    <t>เลือกใช้สี dye เพื่อป้องกันการเกิด color migration</t>
  </si>
  <si>
    <t>ยังคงสามารถเห็นพริ้นท์บนเม็ดยาและรอยบาก</t>
  </si>
  <si>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</si>
  <si>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2559 ข้อ 11</t>
  </si>
  <si>
    <t>อุปกรณ์ข้อใดนิยมใช้เคลือบฟิล์มทั้งในอุตสาหกรรมและห้องทดลอง</t>
  </si>
  <si>
    <t>Accela-Cota</t>
  </si>
  <si>
    <t>Driacoater</t>
  </si>
  <si>
    <t>Hi coater</t>
  </si>
  <si>
    <t>Glatter coater</t>
  </si>
  <si>
    <t>conventional pan</t>
  </si>
  <si>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</si>
  <si>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</si>
  <si>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</si>
  <si>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2558 ข้อ 2</t>
  </si>
  <si>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</si>
  <si>
    <t>\&gt; 10 micron</t>
  </si>
  <si>
    <t>5 - 10 micron</t>
  </si>
  <si>
    <t>1 - 5 micron</t>
  </si>
  <si>
    <t>0.1 - 1 micron</t>
  </si>
  <si>
    <t>0.1 - 0.5 micron</t>
  </si>
  <si>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</si>
  <si>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2558 ข้อ 7</t>
  </si>
  <si>
    <t>ข้อใดกล่าว ไม่ถูกต้อง เกี่ยวกับการผลิตวัคซีนตามหลักเกณฑ์และวิธีการที่ดีในการผลิตยา (GMP)?</t>
  </si>
  <si>
    <t>ต้องแยกอาคารผลิตวัคซีนออกจากผลิตภัณฑ์ Non-sterile</t>
  </si>
  <si>
    <t>ต้องแยกอาคารผลิตวัคซีนออกจากผลิตภัณฑ์ Sterile ทั่วไป</t>
  </si>
  <si>
    <t>ต้องแยกอาคารผลิตวัคซีนให้อยู่ห่างจากแหล่งชุมชนอย่างน้อย 50 เมตร</t>
  </si>
  <si>
    <t>พนักงานผู้ปฏิบัติงานต้องสวมใส่ชุดที่ปราศจากขุย (Lint-free suit)</t>
  </si>
  <si>
    <t>พนักงานผู้ปฏิบัติงานห้ามแต่งหน้าหรือใช้เครื่องสำอางเข้าพื้นที่ผลิต</t>
  </si>
  <si>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</si>
  <si>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2558 ข้อ 11</t>
  </si>
  <si>
    <t>ห่วงคุมกำเนิดช่องคลอด (Vaginal ring) มีระบบในการควบคุมความเร็วและลักษณะการนำส่งฮอร์โมนเข้าสู่ร่างกายในรูปแบบใด?</t>
  </si>
  <si>
    <t>Pulsatile release system</t>
  </si>
  <si>
    <t>Target delivery system</t>
  </si>
  <si>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</si>
  <si>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2558 ข้อ 20</t>
  </si>
  <si>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</si>
  <si>
    <t>Tween:Span \= 7.3 : 3</t>
  </si>
  <si>
    <t>Tween:Span \= 3 : 7.3</t>
  </si>
  <si>
    <t>Tween:Span \= 10.9 : 4.7</t>
  </si>
  <si>
    <t>Tween:Span \= 4.7 : 10.9</t>
  </si>
  <si>
    <t>Tween:Span \= 7.3 : 4.7</t>
  </si>
  <si>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</si>
  <si>
    <t>ข้อสอบจริง Product ปี 2558 ข้อ 22</t>
  </si>
  <si>
    <t>ข้อใดกล่าว ไม่ถูกต้อง เกี่ยวกับมาตรการการดำเนินงานเรียกคืนผลิตภัณฑ์ยา (Product Recall) ตามหลักเกณฑ์มาตรฐาน GMP?</t>
  </si>
  <si>
    <t>[แนบรูป: ข้อสอบ Product ปี 2558 รหัสรูปภาพ image119]</t>
  </si>
  <si>
    <t>ระดับยาเพิ่มขึ้นเป็นขั้นบันไดชันขึ้นเรื่อยๆ ตลอดสัปดาห์ที่ 1 ถึง 3 และลดลงเฉียบพลันในสัปดาห์ที่ 4</t>
  </si>
  <si>
    <t>ระดับยาคงที่อยู่เหนือน้อยกว่าระดับรักษาเล็กน้อย และสะสมเพิ่มขึ้นอย่างรวดเร็วในสัปดาห์เว้นยา</t>
  </si>
  <si>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</si>
  <si>
    <t>ระดับยามีการขึ้นและลงเป็นฟันปลาขนาดใหญ่ในแต่ละสัปดาห์เนื่องจากการเปลี่ยนแผ่นใหม่กระตุ้นระดับยาทันที</t>
  </si>
  <si>
    <t>ระดับยาอยู่ในเกณฑ์สม่ำเสมอเท่ากันตลอดทั้ง 4 สัปดาห์โดยไม่มีการลดระดับลงเลย</t>
  </si>
  <si>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</si>
  <si>
    <t>ข้อสอบจริง Product ปี 2558 ข้อ 36</t>
  </si>
  <si>
    <t>จากตำรับข้อ 9 วิตามินอี ทำหน้าที่อะไรในตำรับ</t>
  </si>
  <si>
    <t>. Emulsifier</t>
  </si>
  <si>
    <t>Thickening agent</t>
  </si>
  <si>
    <t>Anti-oxidant ตอบ e ระบบ: โรคติดต่อทางเพศสัมพันธุ์ ประวัติแพ้ยา ampicillin โดยมีผื่นคัน ไม่มีหายใจติดขัด</t>
  </si>
  <si>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</si>
  <si>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แพทย์สั่งจ่ายยา KCl 40 mEq/tablespoon (15 mL) จำนวน 60 mL เภสัชกรต้องเตรียมผงยา KCl ปริมาณกี่กรัม (กำหนด MW ของ KCl = 74.5 g/mol, valence = 1)</t>
  </si>
  <si>
    <t>1 กรัม</t>
  </si>
  <si>
    <t>3 กรัม</t>
  </si>
  <si>
    <t>6 กรัม</t>
  </si>
  <si>
    <t>12 กรัม</t>
  </si>
  <si>
    <t>24 กรัม</t>
  </si>
  <si>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</si>
  <si>
    <t>Electrolyte &amp; Milliequivalent Calculation</t>
  </si>
  <si>
    <t>ข้อ 91 (ข้อสอบจริง 2566 Day 2)</t>
  </si>
  <si>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</si>
  <si>
    <t>3.2 mEq/hr</t>
  </si>
  <si>
    <t>4.8 mEq/hr</t>
  </si>
  <si>
    <t>6.4 mEq/hr</t>
  </si>
  <si>
    <t>8.0 mEq/hr</t>
  </si>
  <si>
    <t>10.0 mEq/hr</t>
  </si>
  <si>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</si>
  <si>
    <t>IV Infusion Rate Calculation</t>
  </si>
  <si>
    <t>ข้อ 92 (ข้อสอบจริง 2566 Day 2)</t>
  </si>
  <si>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</si>
  <si>
    <t>2.0 กรัม</t>
  </si>
  <si>
    <t>5.5 กรัม</t>
  </si>
  <si>
    <t>6.5 กรัม</t>
  </si>
  <si>
    <t>15.0 กรัม</t>
  </si>
  <si>
    <t>19.5 กรัม</t>
  </si>
  <si>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</si>
  <si>
    <t>Displacement &amp; Density Factor</t>
  </si>
  <si>
    <t>ข้อ 47 (ข้อสอบจริง 2566 Day 2)</t>
  </si>
  <si>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</si>
  <si>
    <t>น้ำหนักผงยารวม / 100</t>
  </si>
  <si>
    <t>น้ำหนักผงยารวม / 20</t>
  </si>
  <si>
    <t>น้ำหนักผงยารวม / 5</t>
  </si>
  <si>
    <t>น้ำหนักผงยารวม / 0.01</t>
  </si>
  <si>
    <t>น้ำหนักผงยารวม / 10</t>
  </si>
  <si>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</si>
  <si>
    <t>Pharmaceutical Quality Assay Calculation</t>
  </si>
  <si>
    <t>ข้อ 95 (ข้อสอบจริง 2566 Day 2)</t>
  </si>
  <si>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</si>
  <si>
    <t>65 เม็ด</t>
  </si>
  <si>
    <t>100 เม็ด</t>
  </si>
  <si>
    <t>130 เม็ด</t>
  </si>
  <si>
    <t>260 เม็ด</t>
  </si>
  <si>
    <t>300 เม็ด</t>
  </si>
  <si>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</si>
  <si>
    <t>Sampling &amp; Dosage Form Weight Calculation</t>
  </si>
  <si>
    <t>ข้อ 52 (ข้อสอบจริง 2566 Day 2)</t>
  </si>
  <si>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</si>
  <si>
    <t>2.3 เดือน</t>
  </si>
  <si>
    <t>3.5 เดือน</t>
  </si>
  <si>
    <t>5.3 เดือน</t>
  </si>
  <si>
    <t>10.5 เดือน</t>
  </si>
  <si>
    <t>23.0 เดือน</t>
  </si>
  <si>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</si>
  <si>
    <t>Chemical Kinetics &amp; Shelf-Life (t90)</t>
  </si>
  <si>
    <t>ข้อ 53/65 (ข้อสอบจริง 2566 Day 2)</t>
  </si>
  <si>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</si>
  <si>
    <t>0.5 ปี</t>
  </si>
  <si>
    <t>2.1 ปี</t>
  </si>
  <si>
    <t>3.5 ปี</t>
  </si>
  <si>
    <t>5.0 ปี</t>
  </si>
  <si>
    <t>13.9 ปี</t>
  </si>
  <si>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</si>
  <si>
    <t>ข้อ 15 (ข้อสอบจริง 2562)</t>
  </si>
  <si>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</si>
  <si>
    <t>25 mg</t>
  </si>
  <si>
    <t>50 mg</t>
  </si>
  <si>
    <t>75 mg</t>
  </si>
  <si>
    <t>100 mg</t>
  </si>
  <si>
    <t>125 mg</t>
  </si>
  <si>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</si>
  <si>
    <t>Capsule Displacement &amp; Volume Calculation</t>
  </si>
  <si>
    <t>ข้อ 19 (ข้อสอบจริง 2562)</t>
  </si>
  <si>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</si>
  <si>
    <t>เม็ดขนาด 450 mg จำนวน 2 เม็ด</t>
  </si>
  <si>
    <t>เม็ดขนาด 450 mg จำนวน 3 เม็ด</t>
  </si>
  <si>
    <t>เม็ดขนาด 300 mg จำนวน 4 เม็ด</t>
  </si>
  <si>
    <t>เม็ดขนาด 300 mg จำนวน 6 เม็ด</t>
  </si>
  <si>
    <t>เม็ดขนาด 300 mg จำนวน 8 เม็ด</t>
  </si>
  <si>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</si>
  <si>
    <t>Working Formula &amp; Compounding Scaling</t>
  </si>
  <si>
    <t>ข้อ 18 (ข้อสอบจริง 2562)</t>
  </si>
  <si>
    <t>หากผู้ป่วยต้องการได้รับ KCl 60 mEq ต่อวัน จะต้องให้สารละลาย KCl ความเข้มข้น 74.5 g/L ปริมาณกี่มิลลิลิตรต่อวัน (กำหนดให้ MW ของ KCl = 74.5 g/mol, valence = 1)</t>
  </si>
  <si>
    <t>15 mL</t>
  </si>
  <si>
    <t>30 mL</t>
  </si>
  <si>
    <t>45 mL</t>
  </si>
  <si>
    <t>60 mL</t>
  </si>
  <si>
    <t>75 mL</t>
  </si>
  <si>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</si>
  <si>
    <t>ข้อ 15 (ข้อสอบจริง 2559)</t>
  </si>
  <si>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</si>
  <si>
    <t>0.82 กรัม</t>
  </si>
  <si>
    <t>1.00 กรัม</t>
  </si>
  <si>
    <t>1.21 กรัม</t>
  </si>
  <si>
    <t>3.92 กรัม</t>
  </si>
  <si>
    <t>4.76 กรัม</t>
  </si>
  <si>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</si>
  <si>
    <t>Molecular Weight &amp; Salt Factor Calculation</t>
  </si>
  <si>
    <t>ข้อ 14 (ข้อสอบจริง 2559)</t>
  </si>
  <si>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</si>
  <si>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</si>
  <si>
    <t>ข้อ 13 (ข้อสอบจริง 2559)</t>
  </si>
  <si>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</si>
  <si>
    <t>0.330 กรัม</t>
  </si>
  <si>
    <t>0.440 กรัม</t>
  </si>
  <si>
    <t>0.720 กรัม</t>
  </si>
  <si>
    <t>0.880 กรัม</t>
  </si>
  <si>
    <t>0.900 กรัม</t>
  </si>
  <si>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</si>
  <si>
    <t>Isotonicity &amp; Sodium Chloride Equivalent (E-value)</t>
  </si>
  <si>
    <t>ข้อ 98 (ข้อสอบจริง 2564) &amp; ข้อ 62 (2563 IDQ V)</t>
  </si>
  <si>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</si>
  <si>
    <t>D5W 445 mL และ D50W 55 mL</t>
  </si>
  <si>
    <t>D5W 495 mL และ D50W 5 mL</t>
  </si>
  <si>
    <t>D5W 400 mL และ D50W 100 mL</t>
  </si>
  <si>
    <t>D5W 450 mL และ D50W 50 mL</t>
  </si>
  <si>
    <t>D5W 350 mL และ D50W 150 mL</t>
  </si>
  <si>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</si>
  <si>
    <t>Alligation Alternate Method</t>
  </si>
  <si>
    <t>ข้อ 90 (ข้อสอบจริง 2565 Day 1)</t>
  </si>
  <si>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</si>
  <si>
    <t>5.5</t>
  </si>
  <si>
    <t>6.5</t>
  </si>
  <si>
    <t>19.5</t>
  </si>
  <si>
    <t>15 วิธีคิด: น้ำหนักฐานต่อแท่ง \= น้ำหนักเม็ดเปล่า − (โดสยา ÷ Dv) \= 2 − (0.01 g ÷ 0.2) \= 2 − 0.05 \= 1.95 g/แท่ง รวม 10 แท่ง \= 1.95 × 10 \= 19.5 g ✓ ตรงกับเฉลยเดิม</t>
  </si>
  <si>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</si>
  <si>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Pharmaceutical Calculations</t>
  </si>
  <si>
    <t>ข้อสอบจริง Product ปี 2566 ข้อ 17</t>
  </si>
  <si>
    <t>(ปี 2566, Day 2 ข้อ 91\) (เรื่อง: การคำนวณเตรียม KCl) แพทย์สั่งจ่ายยา KCl 40 mEq/tablespoon (15 mL) จำนวน 60 mL เภสัชกรต้องเตรียม KCl กี่กรัม (MW=74.5)</t>
  </si>
  <si>
    <t>24 วิธีคิด: 60 mL ÷ 15 mL × 40 mEq \= 160 mEq ; KCl มี valence \= 1 จึง 1 mEq \= 1 mmol ; มวล \= 160 mmol × 74.5 mg/mmol \= 11,920 mg ≈ 12 g ✓</t>
  </si>
  <si>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</si>
  <si>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2566 ข้อ 37</t>
  </si>
  <si>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</si>
  <si>
    <t>น้ำหนักผงยา/100</t>
  </si>
  <si>
    <t>น้ำหนักผงยา/0.01</t>
  </si>
  <si>
    <t>น้ำหนักผงยา/20</t>
  </si>
  <si>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</si>
  <si>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</si>
  <si>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2566 ข้อ 39</t>
  </si>
  <si>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</si>
  <si>
    <t>[แนบรูป: ข้อสอบ Product ปี 2564 รหัสรูปภาพ image74]</t>
  </si>
  <si>
    <t>k=2.4, M=98.5</t>
  </si>
  <si>
    <t>k=2.4, M=101.8</t>
  </si>
  <si>
    <t>k=2.4, M=99.8</t>
  </si>
  <si>
    <t>k=2.0, M=98.5</t>
  </si>
  <si>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</si>
  <si>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</si>
  <si>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2564 ข้อ 35</t>
  </si>
  <si>
    <t>ผู้หญิงน้ำหนัก 60 กิโลกรัม และส่วนสูง 150 ซม. ผู้หญิงรายนี้มีค่า BMI เท่ากับเท่าไหร่</t>
  </si>
  <si>
    <t>23.7</t>
  </si>
  <si>
    <t>24.7</t>
  </si>
  <si>
    <t>26.7</t>
  </si>
  <si>
    <t>40 คำอธิบาย:วิธีคำนวณ BMI สูตร: 			BMI \= น้ำหนัก (kg) / \[ส่วนสูง (m)\]^2 แทนค่า:		BMI \= 60 / (1.50)^2 \= 26.67 ≈ 26.7 ดังนั้นจึงตอบ C. 26.7</t>
  </si>
  <si>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</si>
  <si>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2564 ข้อ 88</t>
  </si>
  <si>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</si>
  <si>
    <t>0.330 g</t>
  </si>
  <si>
    <t>0.440 g</t>
  </si>
  <si>
    <t>0.720 g</t>
  </si>
  <si>
    <t>0.880 g</t>
  </si>
  <si>
    <t>0.900 g คำอธิบาย: สูตร NaCl ที่ต้องเติม 	\= 0.9 - ∑( W × E ) \= 0.9 - \[(0.05 x 0.16) \+ (0.04 x 0.25) \+ (0.01 x 0.16)\] \= 0.9 - \[0.008 \+ 0.010 \+ 0.0016\] \= 0.9 - 0.0196 \= 0.8804 g ≈ 0.880 g ดังนั้นจึงตอบ D. 0.880 g</t>
  </si>
  <si>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</si>
  <si>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2564 ข้อ 98</t>
  </si>
  <si>
    <t>Sodium hydroxide ในสูตรตำรับ ทำหน้าที่ใด</t>
  </si>
  <si>
    <t>Tonicity adjuster</t>
  </si>
  <si>
    <t>pH adjuster</t>
  </si>
  <si>
    <t>Viscosity adjuster คำอธิบาย: Sodium hydroxide (NaOH) เป็นด่างแก่ จึงใช้ในตำรับยาเพื่อ ปรับค่า pH (pH adjuster)</t>
  </si>
  <si>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</si>
  <si>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2564 ข้อ 107</t>
  </si>
  <si>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</si>
  <si>
    <t>1 tab</t>
  </si>
  <si>
    <t>2 tab</t>
  </si>
  <si>
    <t>3 tab</t>
  </si>
  <si>
    <t>4 tab</t>
  </si>
  <si>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</si>
  <si>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</si>
  <si>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2564 ข้อ 138</t>
  </si>
  <si>
    <t>การพัฒนาตำรับ Film coated ของ Risedronate sodium 35 mg ข้อใดผิด (ให้ส่วนประกอบ Film coated ของ Risedronate sodium มาเป็น %) ต้นฉบับ: Day 1 ข้อ 66</t>
  </si>
  <si>
    <t>น้ำหนัก Core tablet \= 200 mg</t>
  </si>
  <si>
    <t>Microcrystalline cellulose \= Lubricant</t>
  </si>
  <si>
    <t>Hydroxypropyl cellulose \= Binder</t>
  </si>
  <si>
    <t>PEG \= Plasticizer</t>
  </si>
  <si>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</si>
  <si>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</si>
  <si>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2563 ข้อ 24</t>
  </si>
  <si>
    <t>ครีม betamethasone valerate 0.1% คิด %label amount ได้ 100 ถ้าในครีม 1 g จะมียาเท่าไร ต้นฉบับ: Day 1 ข้อ 74</t>
  </si>
  <si>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</si>
  <si>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</si>
  <si>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2563 ข้อ 41</t>
  </si>
  <si>
    <t>Each teaspoon contains 125 mg of naproxen containing vehicles of sucrose, magnesium aluminium silicate, disodium edetate, FD\&amp;C Yellow... ถ้าจะเตรียม naproxen suspension ขนาด 100ml จะต้องใช้ naproxen กี่ g? ต้นฉบับ: Day 1 ข้อ 89</t>
  </si>
  <si>
    <t>2.5</t>
  </si>
  <si>
    <t>3.5</t>
  </si>
  <si>
    <t>4.5</t>
  </si>
  <si>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</si>
  <si>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</si>
  <si>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2563 ข้อ 43</t>
  </si>
  <si>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</si>
  <si>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</si>
  <si>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</si>
  <si>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2563 ข้อ 58</t>
  </si>
  <si>
    <t>ข้อใดถูกต้องเกี่ยวกับ Sterile water for injection ต้นฉบับ: Day 1 ข้อ 94</t>
  </si>
  <si>
    <t>มี Preservatives</t>
  </si>
  <si>
    <t>ใช้ได้หลายครั้ง</t>
  </si>
  <si>
    <t>ได้จากน้ำกลั่นที่ทำให้ปราศจากเชื้อ</t>
  </si>
  <si>
    <t>ใช้ภาชนะเป็น glass type III</t>
  </si>
  <si>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</si>
  <si>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</si>
  <si>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2563 ข้อ 61</t>
  </si>
  <si>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</si>
  <si>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</si>
  <si>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</si>
  <si>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2563 ข้อ 62</t>
  </si>
  <si>
    <t>คำนวณปริมาณ base ของยาเหน็บที่ต้องใช้เตรียม 1 แท่งโดย 1 แท่งหนัก 2 g กำหนดให้ยามีน้ำหนัก 500 mg/แท่ง มีค่า D.V.=1.1</t>
  </si>
  <si>
    <t>0.45</t>
  </si>
  <si>
    <t>0.55</t>
  </si>
  <si>
    <t>1.45</t>
  </si>
  <si>
    <t>1.55</t>
  </si>
  <si>
    <t>2.00</t>
  </si>
  <si>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</si>
  <si>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คำนวณ KCl ต้องให้กี่ ml (74.5 g/l) ต้องการให้ผู้ป่วย 60 mEq/day</t>
  </si>
  <si>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</si>
  <si>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2559 ข้อ 17</t>
  </si>
  <si>
    <t>จงคำนวณหาปริมาณเบสของยาเหน็บที่ต้องใช้เตรียม 1 แท่ง โดย 1 แท่งหนัก 2 g กำหนดให้ยา clotrimazole มีน้ำหนัก 500 mg/แท่ง มีค่า D.V.=1.1</t>
  </si>
  <si>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</si>
  <si>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2559 ข้อ 13</t>
  </si>
  <si>
    <t>วิธีการทดสอบความสม่ำเสมอของขนาดความแรง (Uniformity of dosage units) ของยาเม็ด Calcium Carbonate (CaCO3) ตามเภสัชตำรับ USP ข้อใดถูกต้อง?</t>
  </si>
  <si>
    <t>สุ่มยามา 20 เม็ด ชั่งน้ำหนักทีละเม็ดแล้วหาน้ำหนักเฉลี่ย</t>
  </si>
  <si>
    <t>สุ่มยามา 20 เม็ด บดรวมกันแล้วหาปริมาณสารสำคัญ (Assay)</t>
  </si>
  <si>
    <t>สุ่มยามา 30 เม็ด เลือกมา 10 เม็ดแรกเพื่อชั่งน้ำหนักทีละเม็ดและหาปริมาณตัวยาสำคัญในแต่ละเม็ดโดยตรง (Content Uniformity)</t>
  </si>
  <si>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</si>
  <si>
    <t>สุ่มยามา 30 เม็ด ชั่งน้ำหนักทีละเม็ดรวดเดียวครบทั้ง 30 เม็ดเพื่อหาค่าเฉลี่ย</t>
  </si>
  <si>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</si>
  <si>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2558 ข้อ 12</t>
  </si>
  <si>
    <t>จงคำนวณหาค่า Required HLB (rHLB) ของสูตรตำรับครีม/อิมัลชันต่อไปนี้  Rx.  Mineral Oil: 30 g (rHLB \= 12\)  Wool fat: 1.5 g (rHLB \= 10\)  Cetyl alcohol: 1.0 g (rHLB \= 15\)  Emulsifier: qs  Water: qs ad 90 mL</t>
  </si>
  <si>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</si>
  <si>
    <t>ข้อสอบจริง Product ปี 2558 ข้อ 21</t>
  </si>
  <si>
    <t>ยายหยอดตามีส่วนประกอบดังนี้ Neomycin sulfate, Polymyxin B sulphate, NaCl, Benzalkonium chloride, Hypromellose, Disodium edetate จากตำรับดังกล่าว Hypromellose มีหน้าที่อะไร</t>
  </si>
  <si>
    <t>เพิ่มการละลายของ Neomycin</t>
  </si>
  <si>
    <t>ป้องกันการตกตะกอนขุ่นของสารละลาย</t>
  </si>
  <si>
    <t>เพิ่มฤทธิ์ฆ่าเชื้อแบคทีเรีย</t>
  </si>
  <si>
    <t>ลดการแสบระคายเคืองตา</t>
  </si>
  <si>
    <t>เพิ่มการติดของสารละลายกับดวงตา</t>
  </si>
  <si>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</si>
  <si>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Tablet Manufacturing</t>
  </si>
  <si>
    <t>คุณสมบัติที่สำคัญที่สุดของยาตา</t>
  </si>
  <si>
    <t>Isotonic</t>
  </si>
  <si>
    <t>Sterile</t>
  </si>
  <si>
    <t>ต้องเป็นสารละลาย</t>
  </si>
  <si>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</si>
  <si>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Norfloxacin มีค่าการละลายต่ำจึงนำมาใช้ร่วมกับ B-cyclodextrin ข้อใดคือกลไกของ B-cyclodextrin</t>
  </si>
  <si>
    <t>ลดค่า dielectric constant</t>
  </si>
  <si>
    <t>Micelle</t>
  </si>
  <si>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</si>
  <si>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หากต้องการพัฒนาสูตรตำรับยาคุมกำเนิดปัญหาใดที่มีความสำคัญที่สุดและต้องแก้ไข</t>
  </si>
  <si>
    <t>ความหนาของเม็ดยาต้องเท่ากัน</t>
  </si>
  <si>
    <t>ความแข็งของเม็ดยา เนื่องจากต้องพกติดตัว</t>
  </si>
  <si>
    <t>ความสม่ำเสมอของตัวยาสำคัญ</t>
  </si>
  <si>
    <t>ความกร่อน</t>
  </si>
  <si>
    <t>การละลายของยา</t>
  </si>
  <si>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</si>
  <si>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26 Pharma Plus เล่มม่วง (เฉลยข้อ ค)</t>
  </si>
  <si>
    <t>สาเหตุความไม่คงตัวดังข้อ 71 คือ</t>
  </si>
  <si>
    <t>อนุภาคมีขนาดใหญ่เกินไป</t>
  </si>
  <si>
    <t>วัตภาคน้ำมันมีปริมาณมากเกินไป</t>
  </si>
  <si>
    <t>ความหนืดของวัตภาคภายนอกสูงเกินไป</t>
  </si>
  <si>
    <t>ไม่มีสารก่ออิมัลชัน (emulsifier) ในตำรับ</t>
  </si>
  <si>
    <t>ความหนาแน่นของวัตภาคในและนอกมีค่าใกล้เคียงกัน</t>
  </si>
  <si>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</si>
  <si>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72 Pharma Plus เล่มม่วง (เฉลยข้อ ง)</t>
  </si>
  <si>
    <t>สัดส่วนที่เหมาะสมของสารก่ออิมัลชันที่ใช้สำหรับตำรับข้อ 71 เพื่อให้เกิดเป็น o/w</t>
  </si>
  <si>
    <t>Tween 80 : Span 80 = 8.43 : 2.87</t>
  </si>
  <si>
    <t>Tween 80 : Span 80 = 2.87 : 8.43</t>
  </si>
  <si>
    <t>Tween 80 : Span 80 = 15.0 : 3.7</t>
  </si>
  <si>
    <t>Tween 80 : Span 80 = 3.7 : 15.0</t>
  </si>
  <si>
    <t>Tween 80 : Span 80 = 1.5 : 2.5</t>
  </si>
  <si>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</si>
  <si>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74 Pharma Plus เล่มม่วง (เฉลยข้อ )</t>
  </si>
  <si>
    <t>เพราะเหตุใดอิมัลชันที่เตรียมได้ตามสูตรข้างต้นเป็นอิมัลชันชนิด o/w</t>
  </si>
  <si>
    <t>มีปริมาตรวัตภาคบ้า(น้ำ)สูงกว่าวัตภาคน้ำมัน และระบบสารก่ออิมัลชัน (emulsifier system) มีค่า HLB ที่สูง</t>
  </si>
  <si>
    <t>มีปริมาตรวัตภาคบ้า(น้ำ)สูงกว่าวัตภาคน้ำมัน และระบบสารก่ออิมัลชัน (emulsifier system) มีค่า HLB ที่ต่ำ</t>
  </si>
  <si>
    <t>มีปริมาตรวัตภาคน้ำมันสูงกว่าวัตภาคบ้า(น้ำ) และระบบสารก่ออิมัลชัน (emulsifier system) มีค่า HLB ที่สูง</t>
  </si>
  <si>
    <t>มีปริมาตรวัตภาคน้ำมันสูงกว่าวัตภาคบ้า(น้ำ) และระบบสารก่ออิมัลชัน (emulsifier system) มีค่า HLB ที่ต่ำ</t>
  </si>
  <si>
    <t>มีปริมาตรวัตภาคน้ำมันและวัตภาคน้ำเท่าๆกัน และระบบสารก่ออิมัลชัน (emulsifier system) มีค่า HLB ที่สูง</t>
  </si>
  <si>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</si>
  <si>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75 Pharma Plus เล่มม่วง (เฉลยข้อ ก)</t>
  </si>
  <si>
    <t>ในการผลิตยาเม็ด gemfibrozil พบว่าเมื่อตอกแล้วยาเม็ดติดสาก แก้ไขโดยการเติมสารใด</t>
  </si>
  <si>
    <t>Lactose</t>
  </si>
  <si>
    <t>Magnesium stearate</t>
  </si>
  <si>
    <t>Alcohol</t>
  </si>
  <si>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</si>
  <si>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Tablet Defects</t>
  </si>
  <si>
    <t>ข้อ 76 Pharma Plus เล่มม่วง (เฉลยข้อ ง)</t>
  </si>
  <si>
    <t>หากต้องการเพิ่มความสามารถในการแตกตัวของยาเม็ด colchicine ควรใช้สารใด</t>
  </si>
  <si>
    <t>Starch paste</t>
  </si>
  <si>
    <t>Dicalcium phosphate</t>
  </si>
  <si>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</si>
  <si>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77 Pharma Plus เล่มม่วง (เฉลยข้อ ค)</t>
  </si>
  <si>
    <t>ในการควบคุมคุณภาพของยาเม็ด colchicine tablet 0.6 mg ตามข้อกำหนดใน USP สิ่งที่ไม่ต้องทำคือ</t>
  </si>
  <si>
    <t>Friability test</t>
  </si>
  <si>
    <t>Dissolution test</t>
  </si>
  <si>
    <t>Disintegration test</t>
  </si>
  <si>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</si>
  <si>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78 Pharma Plus เล่มม่วง (เฉลยข้อ ก)</t>
  </si>
  <si>
    <t>ถ้าต้องการเตรียมยา Intra-arthricular corticosteroids (ampule) ต้องผ่านการควบคุมคุณภาพต่อไปนี้ ยกเว้นข้อใด</t>
  </si>
  <si>
    <t>Pyrogen test</t>
  </si>
  <si>
    <t>Compatibility test</t>
  </si>
  <si>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</si>
  <si>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79 Pharma Plus เล่มม่วง (เฉลยข้อ ง)</t>
  </si>
  <si>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</si>
  <si>
    <t>0.8 g</t>
  </si>
  <si>
    <t>1.2 g</t>
  </si>
  <si>
    <t>1.5 g</t>
  </si>
  <si>
    <t>2.2 g</t>
  </si>
  <si>
    <t>3.0 g</t>
  </si>
  <si>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</si>
  <si>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80 Pharma Plus เล่มม่วง (เฉลยข้อ ง)</t>
  </si>
  <si>
    <t>ผู้ป่วยควรเก็บ insulin ที่ภาวะใด</t>
  </si>
  <si>
    <t>Cold</t>
  </si>
  <si>
    <t>Cool</t>
  </si>
  <si>
    <t>Room temperature</t>
  </si>
  <si>
    <t>Warm</t>
  </si>
  <si>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</si>
  <si>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81 Pharma Plus เล่มม่วง (เฉลยข้อ ข)</t>
  </si>
  <si>
    <t>ท่านคิดว่า metformin tablet ไม่จำเป็นต้องทำ finished product quality control ข้อใด</t>
  </si>
  <si>
    <t>Freeze-thaw cycle</t>
  </si>
  <si>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</si>
  <si>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82 Pharma Plus เล่มม่วง (เฉลยข้อ ก)</t>
  </si>
  <si>
    <t>ข้อใดไม่ใช่ข้อดีของการทำ film coated tablet ที่เหนือกว่า sugar coated tablet</t>
  </si>
  <si>
    <t>น้ำหนักของเม็ดยาเพิ่มมากขึ้น มากกว่า sugar coated tablet เนื่องจาก material ที่ใช้เป็นสารสังเคราะห์ที่มีน้ำหนักโมเลกุลสูง</t>
  </si>
  <si>
    <t>พื้นผิวเม็ดยามีความเรียบและ สีสม่ำเสมอกว่า sugar coated tablet</t>
  </si>
  <si>
    <t>กระบวนการทำ film coated tablet รวดเร็วกว่า sugar coated tablet</t>
  </si>
  <si>
    <t>กระบวนการทำ film coated tablet ไม่เกิดปัญหา dead spot</t>
  </si>
  <si>
    <t>film coated tabletไม่มีการทำ polishing ด้วย wax จึงไม่เกิดปัญหาที่เรียกว่า marbled เหมือน sugar coated tablet</t>
  </si>
  <si>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</si>
  <si>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Tablet Coating</t>
  </si>
  <si>
    <t>ข้อ 83 Pharma Plus เล่มม่วง (เฉลยข้อ ก)</t>
  </si>
  <si>
    <t>Antacid เป็นยาเตรียมประเภทใด</t>
  </si>
  <si>
    <t>Gel</t>
  </si>
  <si>
    <t>Emulsion</t>
  </si>
  <si>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</si>
  <si>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96 Pharma Plus เล่มม่วง (เฉลยข้อ ค)</t>
  </si>
  <si>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</si>
  <si>
    <t>Hard Gelatin Capsule filling</t>
  </si>
  <si>
    <t>Soft Gelatin Capsule encapsulation</t>
  </si>
  <si>
    <t>1 และ 3</t>
  </si>
  <si>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</si>
  <si>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97 Pharma Plus เล่มม่วง (เฉลยข้อ ค)</t>
  </si>
  <si>
    <t>ในการตอก ciprofloxacin tablet พบว่าผงยาไหลไม่ดี เภสัชกรฝ่าย R&amp;D อย่างท่านควรพัฒนาสูตรตำรับอย่างไรจึงจะเหมาะสม</t>
  </si>
  <si>
    <t>เปลี่ยนสูตรตำรับเป็นยาน้ำ</t>
  </si>
  <si>
    <t>ทำ wet granulation</t>
  </si>
  <si>
    <t>นำไปผ่าน sieve เพื่อคัดขนาดอนุภาค</t>
  </si>
  <si>
    <t>เพิ่มแรงตอก</t>
  </si>
  <si>
    <t>เพิ่ม diluent</t>
  </si>
  <si>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</si>
  <si>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Powders &amp; Granules</t>
  </si>
  <si>
    <t>ข้อ 99 Pharma Plus เล่มม่วง (เฉลยข้อ ข)</t>
  </si>
  <si>
    <t>เภสัชกรผู้หนึ่งทำการสุ่ม atenolol tablets ระหว่างการผลิตพบว่ายาเม็ดเกิดการแยกฝา เรียกปรากฏการณ์นี้ว่า</t>
  </si>
  <si>
    <t>Breaking</t>
  </si>
  <si>
    <t>Capping</t>
  </si>
  <si>
    <t>Segregation</t>
  </si>
  <si>
    <t>Sticking</t>
  </si>
  <si>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</si>
  <si>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100 Pharma Plus เล่มม่วง (เฉลยข้อ ค)</t>
  </si>
  <si>
    <t>จะแก้ไขปรากฏการณ์ข้อ 100 ได้อย่างไร</t>
  </si>
  <si>
    <t>เติม anti-adherent</t>
  </si>
  <si>
    <t>เติม binder</t>
  </si>
  <si>
    <t>ลดขนาดอนุภาคให้ใกล้เคียงกัน</t>
  </si>
  <si>
    <t>ปรับความเร็วในการตอกให้ลดลง</t>
  </si>
  <si>
    <t>ข. และ ง. ถูก</t>
  </si>
  <si>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</si>
  <si>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101 Pharma Plus เล่มม่วง (เฉลยข้อ จ)</t>
  </si>
  <si>
    <t>ORS Formulation
Sodium chloride: 2.6 g/L
Glucose anhydrous: 13.5 g/L
Potassium chloride: 1.5 g/L
Trisodium citrate dihydrate: 2.9 g/L
จากสูตร ORS ที่กำหนดให้ จงคำนวณหา mOsmol ของ NaCl (MW NaCl = 58.5)</t>
  </si>
  <si>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</si>
  <si>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105 Pharma Plus เล่มม่วง (เฉลยข้อ จ)</t>
  </si>
  <si>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</si>
  <si>
    <t>155 g</t>
  </si>
  <si>
    <t>175 g</t>
  </si>
  <si>
    <t>180 g</t>
  </si>
  <si>
    <t>197 g</t>
  </si>
  <si>
    <t>200 g</t>
  </si>
  <si>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</si>
  <si>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107 Pharma Plus เล่มม่วง (เฉลยข้อ ค)</t>
  </si>
  <si>
    <t>ในการเตรียม D-5-S จำนวน 100 ขวด (ขวดละ 1000 mL) จะต้องใช้ NaCl หนักเท่าใด</t>
  </si>
  <si>
    <t>45 กรัม</t>
  </si>
  <si>
    <t>450 กรัม</t>
  </si>
  <si>
    <t>90 กรัม</t>
  </si>
  <si>
    <t>900 กรัม</t>
  </si>
  <si>
    <t>ไม่มีคำตอบใดถูก</t>
  </si>
  <si>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</si>
  <si>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108 Pharma Plus เล่มม่วง (เฉลยข้อ ง)</t>
  </si>
  <si>
    <t>หลังจากบรรจุเสร็จ จะนำขวดน้ำเกลือดังกล่าวไปฆ่าเชื้อโดยผ่านเครื่องมือใด ที่อุณหภูมิในข้อใด จึงจะเหมาะสม</t>
  </si>
  <si>
    <t>Hot air oven 160 องศาเซลเซียส นาน 3 ชั่วโมง</t>
  </si>
  <si>
    <t>Hot air oven 121 องศาเซลเซียส นาน 20-30 นาที</t>
  </si>
  <si>
    <t>Autoclave 121 องศาเซลเซียส นาน 20-30 นาที</t>
  </si>
  <si>
    <t>Autoclave 160 องศาเซลเซียส นาน 3 ชั่วโมง</t>
  </si>
  <si>
    <t>Autoclave 100 องศาเซลเซียส นาน 30 นาที</t>
  </si>
  <si>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</si>
  <si>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109 Pharma Plus เล่มม่วง (เฉลยข้อ ค)</t>
  </si>
  <si>
    <t>ยา ISDN เหมาะกับอาการขณะกำเริบ คือ dosage form ใด</t>
  </si>
  <si>
    <t>Extent release</t>
  </si>
  <si>
    <t>Ointment</t>
  </si>
  <si>
    <t>Sublingual tablet</t>
  </si>
  <si>
    <t>Transdermal</t>
  </si>
  <si>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</si>
  <si>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122 Pharma Plus เล่มม่วง (เฉลยข้อ ง)</t>
  </si>
  <si>
    <t>ยาที่ผู้ป่วยได้รับก่อนมารพ. คือ nifedipine SR เป็นการปลดยารูปแบบใด</t>
  </si>
  <si>
    <t>ปลดปล่อยยาทันทีหลังรับประทานอาหาร</t>
  </si>
  <si>
    <t>ปลดปล่อยยาอย่างเร็ว</t>
  </si>
  <si>
    <t>ปลดปล่อยยาในปริมาณที่แน่นอน</t>
  </si>
  <si>
    <t>ค่อย ๆ ปล่อยยาออกมาอย่าง ช้า ๆ</t>
  </si>
  <si>
    <t>ค่อย ๆปลดปล่อยยาออกมาในปริมาณน้อย</t>
  </si>
  <si>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</si>
  <si>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123 Pharma Plus เล่มม่วง (เฉลยข้อ ง)</t>
  </si>
  <si>
    <t>ข้อมูลข้อมีความจำเป็นน้อยที่สุดในการนำพริกมาบรรจุในแคปซูลเพื่อรับประทาน</t>
  </si>
  <si>
    <t>Angle of repose</t>
  </si>
  <si>
    <t>Capsule's size and volume</t>
  </si>
  <si>
    <t>Tap density</t>
  </si>
  <si>
    <t>Therapeutic dose</t>
  </si>
  <si>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</si>
  <si>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Hard &amp; Soft Gelatin Capsules</t>
  </si>
  <si>
    <t>ข้อ 125 Pharma Plus เล่มม่วง (เฉลยข้อ ก)</t>
  </si>
  <si>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</si>
  <si>
    <t>ใช้ 25% NaHCO3 6 mL และปรับปริมาตรให้ได้ 100 mL</t>
  </si>
  <si>
    <t>ใช้ 25% NaHCO3 6 mL และปรับปริมาตรให้ได้ 30 mL</t>
  </si>
  <si>
    <t>ใช้ 25% NaHCO3 20 mL และปรับปริมาตรให้ได้ 100 mL</t>
  </si>
  <si>
    <t>ใช้ 25% NaHCO3 20 mL และปรับปริมาตรให้ได้ 30 mL</t>
  </si>
  <si>
    <t>ใช้ 25% NaHCO3 10 mL และปรับปริมาตรให้ได้ 100 mL</t>
  </si>
  <si>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</si>
  <si>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126 Pharma Plus เล่มม่วง (เฉลยข้อ ข)</t>
  </si>
  <si>
    <t>เมื่อเตรียมตำรับยาข้างต้นในข้อ 126 ส่วนประกอบใดไม่จำเป็นในการเตรียมยาใช้ในช่องหู</t>
  </si>
  <si>
    <t>Structure vehicle</t>
  </si>
  <si>
    <t>Viscosity agent</t>
  </si>
  <si>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</si>
  <si>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127 Pharma Plus เล่มม่วง (เฉลยข้อ ข)</t>
  </si>
  <si>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</si>
  <si>
    <t>0.27 g</t>
  </si>
  <si>
    <t>0.18 g</t>
  </si>
  <si>
    <t>0.09 g</t>
  </si>
  <si>
    <t>0.04 g</t>
  </si>
  <si>
    <t>0.12 g</t>
  </si>
  <si>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</si>
  <si>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152 Pharma Plus เล่มม่วง (เฉลยข้อ ค)</t>
  </si>
  <si>
    <t>ข้อใดไม่เกี่ยวกับการควบคุมคุณภาพ ยาเม็ด norfloxacin</t>
  </si>
  <si>
    <t>Content Uniformity</t>
  </si>
  <si>
    <t>Weight Variation</t>
  </si>
  <si>
    <t>Limulus Amoebocyte Lysate test</t>
  </si>
  <si>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</si>
  <si>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153 Pharma Plus เล่มม่วง (เฉลยข้อ จ)</t>
  </si>
  <si>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</si>
  <si>
    <t>Sodium alginate, bentonite, methylcellulose</t>
  </si>
  <si>
    <t>Tragacanth, carbomer, methylcellulose</t>
  </si>
  <si>
    <t>Carbomer, methylcellulose, hydroxypropyl cellulose</t>
  </si>
  <si>
    <t>Pectin, guar gum, carbomer</t>
  </si>
  <si>
    <t>Tragacanth, carboxymethylcellulose, carbomer</t>
  </si>
  <si>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</si>
  <si>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155 Pharma Plus เล่มม่วง (เฉลยข้อ จ)</t>
  </si>
  <si>
    <t>สาร polymer ตัวใดนิยมใช้ในการทำ film coat tablet</t>
  </si>
  <si>
    <t>CMC</t>
  </si>
  <si>
    <t>Polymeric methacrylates</t>
  </si>
  <si>
    <t>Carbopol</t>
  </si>
  <si>
    <t>Veegum</t>
  </si>
  <si>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</si>
  <si>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163 Pharma Plus เล่มม่วง (เฉลยข้อ ก)</t>
  </si>
  <si>
    <t>ข้อใดกล่าวผิดเกี่ยวกับยารูปแบบเม็ด</t>
  </si>
  <si>
    <t>การเตรียมยา solution ทำได้โดยการใช้ตัวทำละลายร่วมที่เป็น organic solvent เพื่อช่วยละลาย</t>
  </si>
  <si>
    <t>ยารูปแบบ solution มักมีค่าความต้านทานการไหลและแรงตึงผิวภายในสารละลายใกล้เคียงกับน้ำ</t>
  </si>
  <si>
    <t>Suspension ใช้เป็นยาฉีดเข้าหลอดเลือดได้ ถ้าขนาดอนุภาคเล็กมากๆ</t>
  </si>
  <si>
    <t>Emulsion ใช้เป็นอาหารทางหลอดเลือดดำได้แต่ควรเป็นการเตรียมใหม่ๆ</t>
  </si>
  <si>
    <t>การลดความเจ็บปวดเมื่อฉีดทำได้โดยเติมสารบางชนิดเช่น buffer</t>
  </si>
  <si>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</si>
  <si>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164 Pharma Plus เล่มม่วง (เฉลยข้อ ไมมีคำตอบ)</t>
  </si>
  <si>
    <t>ข้อใดถูกต้องที่สุดเกี่ยวกับ tonicity ของยาฉีด</t>
  </si>
  <si>
    <t>จัดเป็น colligative property</t>
  </si>
  <si>
    <t>สามารถปรับได้โดยเติมสารบางชนิด เช่น phosphate acetate ซึ่งนิยมมาก</t>
  </si>
  <si>
    <t>การฉีด hypertonic solution ก่อให้เกิด cell lysis ได้</t>
  </si>
  <si>
    <t>การฉีดยา isotonic ต่อระบบเลือด มักเป็น isotonic ต่อเนื้อเยื่ออื่นด้วย</t>
  </si>
  <si>
    <t>Normal saline เป็นทั้ง isotonic และ iso-osmotic</t>
  </si>
  <si>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</si>
  <si>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165 Pharma Plus เล่มม่วง (เฉลยข้อ จ)</t>
  </si>
  <si>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</si>
  <si>
    <t>Spray dried lactose</t>
  </si>
  <si>
    <t>Tapioca starch</t>
  </si>
  <si>
    <t>Dibasic calcium phosphate</t>
  </si>
  <si>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</si>
  <si>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166 Pharma Plus เล่มม่วง (เฉลยข้อ ก)</t>
  </si>
  <si>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</si>
  <si>
    <t>ผงยามีการกระจายขนาดอนุภาคในช่วงแคบ</t>
  </si>
  <si>
    <t>ผงยามีค่า angle of repose ต่ำ</t>
  </si>
  <si>
    <t>สารเจือจางมีความหนาแน่นใกล้เคียงตัวยาสำคัญ</t>
  </si>
  <si>
    <t>ปริมาณของตัวยาและสารช่วยรวมกัน ควรบรรจุขอบ body ของเปลือก capsule ได้เต็มหรือเกือบเต็ม</t>
  </si>
  <si>
    <t>สารช่วยการไหลที่ใช้มีคุณสมบัติเป็น true lubricant มากกว่า glidant</t>
  </si>
  <si>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</si>
  <si>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167 Pharma Plus เล่มม่วง (เฉลยข้อ จ)</t>
  </si>
  <si>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</si>
  <si>
    <t>ผ่านการทดสอบใน S1 ทั้งหกเม็ด</t>
  </si>
  <si>
    <t>มี 3 เม็ดไม่ผ่านการทดสอบใน S1</t>
  </si>
  <si>
    <t>มี 1 เม็ดไม่ผ่านการทดสอบใน S1</t>
  </si>
  <si>
    <t>ต้องทำการทดสอบเพิ่มอีก 12 เม็ด</t>
  </si>
  <si>
    <t>มี 4 เม็ดไม่ผ่านการทดสอบ</t>
  </si>
  <si>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</si>
  <si>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180 Pharma Plus เล่มม่วง (เฉลยข้อ )</t>
  </si>
  <si>
    <t>ยาของบริษัทใดมีความสามารถในการละลายน้ำที่ดีกว่ากัน</t>
  </si>
  <si>
    <t>ยาของบริษัท A ละลายน้ำได้ดีกว่า บริษัท B เนื่องจากมี lactose ทำให้ละลายน้ำได้ดีกว่า</t>
  </si>
  <si>
    <t>ยาของบริษัท A ละลายน้ำได้ดีกว่า บริษัท B เนื่องจากมีปริมาณ magnesium stearate มากกว่า</t>
  </si>
  <si>
    <t>ยาของบริษัท B ละลายน้ำได้ดีกว่า บริษัท A เนื่องจากมี microcrystalline cellulose ช่วยในการละลาย</t>
  </si>
  <si>
    <t>ยาของบริษัท B ละลายน้ำได้ดีกว่า บริษัท A เนื่องจากมี sodium lauryl sulfate เป็น wetting agent</t>
  </si>
  <si>
    <t>ยาของบริษัท A และ B ละลายน้ำได้เท่ากันเนื่องจากยา allopurinol มีคุณสมบัติละลายน้ำได้น้อยอยู่แล้ว</t>
  </si>
  <si>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</si>
  <si>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181 Pharma Plus เล่มม่วง (เฉลยข้อ )</t>
  </si>
  <si>
    <t>ยาเม็ดคุมกำเนิด ไม่ต้องทำการทดสอบตัวข้อใด (ตามมาตรฐานของ USP)</t>
  </si>
  <si>
    <t>Hardness</t>
  </si>
  <si>
    <t>Content of Uniformity</t>
  </si>
  <si>
    <t>Percent labeled amount</t>
  </si>
  <si>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</si>
  <si>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182 Pharma Plus เล่มม่วง (เฉลยข้อ ข)</t>
  </si>
  <si>
    <t>ข้อใดผิดเกี่ยวกับการเตรียมยาเม็ดด้วยวิธีตอกอัดโดยตรง</t>
  </si>
  <si>
    <t>เป็นวิธีที่สะดวกรวดเร็ว</t>
  </si>
  <si>
    <t>ไม่ใช้น้ำและความร้อนในการตอก</t>
  </si>
  <si>
    <t>ยาเม็ดที่ได้มีการกระจายของสีที่สม่ำเสมอกว่าการทำแกรนูลเปียก</t>
  </si>
  <si>
    <t>ยาที่ตอกควรมีคุณสมบัติในการไหลและยึดเกาะกันได้ดี</t>
  </si>
  <si>
    <t>สารช่วยควรไหลได้ดีและตอกอัดได้</t>
  </si>
  <si>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</si>
  <si>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183 Pharma Plus เล่มม่วง (เฉลยข้อ ค)</t>
  </si>
  <si>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</si>
  <si>
    <t>Cosolvency</t>
  </si>
  <si>
    <t>Liposome</t>
  </si>
  <si>
    <t>Crystallization</t>
  </si>
  <si>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</si>
  <si>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184 Pharma Plus เล่มม่วง (เฉลยข้อ ก)</t>
  </si>
  <si>
    <t>ต้องการเตรียมยา Topical Clotrimazole มีส่วนประกอบในตำรับ ได้แก่ Ethyl alcohol, propylene glycol, PEG400, purified water, Lavender oil ใช้วิธีใดในการทำให้เป็นสารละลายใส</t>
  </si>
  <si>
    <t>Prodrug formation</t>
  </si>
  <si>
    <t>Micelle solubilization</t>
  </si>
  <si>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</si>
  <si>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185 Pharma Plus เล่มม่วง (เฉลยข้อ ก)</t>
  </si>
  <si>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</si>
  <si>
    <t>Caking</t>
  </si>
  <si>
    <t>Creaming</t>
  </si>
  <si>
    <t>Phase inversion</t>
  </si>
  <si>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</si>
  <si>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186 Pharma Plus เล่มม่วง (เฉลยข้อ ข)</t>
  </si>
  <si>
    <t>มีสูตรตำรับโลชั่นพริก เกิดแยกตัว เขย่าไม่กลับคืนเกิดจากสาเหตุใดได้</t>
  </si>
  <si>
    <t>เฟสน้ำมันมีมากไป</t>
  </si>
  <si>
    <t>สัดส่วนระหว่างวัดภาคน้ำและน้ำมันต่างกันมาก</t>
  </si>
  <si>
    <t>ไม่มี emulsifier</t>
  </si>
  <si>
    <t>Emulsifier ไม่เพียงพอ</t>
  </si>
  <si>
    <t>ความหนาแน่นเฟสน้ำกับน้ำมันมีความแตกต่างกันมาก</t>
  </si>
  <si>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</si>
  <si>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187 Pharma Plus เล่มม่วง (เฉลยข้อ ง)</t>
  </si>
  <si>
    <t>ถ้าจะเตรียมยาเพื่อให้ไม่ผ่านกระบวนการ metabolite ที่ตับ เราควรจะเตรียมในรูปแบบใด</t>
  </si>
  <si>
    <t>Film coated tablets</t>
  </si>
  <si>
    <t>Enteric coated tablets</t>
  </si>
  <si>
    <t>Osmotic pump tablets</t>
  </si>
  <si>
    <t>Matrix tablets</t>
  </si>
  <si>
    <t>Rectal suppositories</t>
  </si>
  <si>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</si>
  <si>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188 Pharma Plus เล่มม่วง (เฉลยข้อ ง)</t>
  </si>
  <si>
    <t>ระบบควบคุมการปลดปล่อยยาแบบใดสามารถหักแบ่งครึ่งเม็ดได้</t>
  </si>
  <si>
    <t>Enteric coated</t>
  </si>
  <si>
    <t>Osmotic control</t>
  </si>
  <si>
    <t>Matrix control</t>
  </si>
  <si>
    <t>Film diffuse control</t>
  </si>
  <si>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</si>
  <si>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189 Pharma Plus เล่มม่วง (เฉลยข้อ จ)</t>
  </si>
  <si>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</si>
  <si>
    <t>Titanium dioxide เป็น binder</t>
  </si>
  <si>
    <t>Microcrystalline cellulose เป็น filler</t>
  </si>
  <si>
    <t>Sodium starch glycolate เป็น superdisintegrant</t>
  </si>
  <si>
    <t>Magnesium stearate เป็น glidant</t>
  </si>
  <si>
    <t>Corn starch เป็น disintegrant</t>
  </si>
  <si>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</si>
  <si>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190 Pharma Plus เล่มม่วง (เฉลยข้อ จ)</t>
  </si>
  <si>
    <t>ยาทาสิว Benzoyl peroxide gel 5% มีส่วนประกอบดังนี้ Carbomer 940, Hydroxypropylmethylcellulose, Tween 20, Ethanol, Glycerin, Triethanolamine, Triclosan, Purified water
ข้อใดต่อไปนี้ถูกต้อง</t>
  </si>
  <si>
    <t>มีสารก่อเจล 2 ชนิด</t>
  </si>
  <si>
    <t>Carbopol ละลายในน้ำเดือด แล้วเติมน้ำเย็นละลายทันที</t>
  </si>
  <si>
    <t>Triclosan ช่วยให้เจลแข็งตัวจากการปรับ pH</t>
  </si>
  <si>
    <t>Triethanolamine เป็น preservative ของตำรับ</t>
  </si>
  <si>
    <t>Carbopol ละลายได้ดีใน alcohol</t>
  </si>
  <si>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</si>
  <si>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191 Pharma Plus เล่มม่วง (เฉลยข้อ ง)</t>
  </si>
  <si>
    <t>โจทย์ให้สูตรตำรับของ tetracycline capsule มา ได้แก่ lactose, magnesium stearate ... (โจทย์ไม่ครบ) ตำรับ tetracycline capsule
ข้อใดถูกต้อง</t>
  </si>
  <si>
    <t>เหมาะจะเตรียมเป็น soft gelatin capsule</t>
  </si>
  <si>
    <t>Capsule เบอร์ 000 เล็กสุด เบอร์ 5 ใหญ่สุด</t>
  </si>
  <si>
    <t>Lactose เพิ่มความหวาน</t>
  </si>
  <si>
    <t>Magnesium stearate เพิ่มการแตกตัว</t>
  </si>
  <si>
    <t>Silicon dioxide เพิ่มการไหล</t>
  </si>
  <si>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</si>
  <si>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192 Pharma Plus เล่มม่วง (เฉลยข้อ ก)</t>
  </si>
  <si>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</si>
  <si>
    <t>Hydroxypropyl methyl cellulose</t>
  </si>
  <si>
    <t>Colloidal silica</t>
  </si>
  <si>
    <t>Pre-gelatinized starch</t>
  </si>
  <si>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</si>
  <si>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193 Pharma Plus เล่มม่วง (เฉลยข้อ จ)</t>
  </si>
  <si>
    <t>ในการพิสูจน์ Bioequivalence ระหว่างยา 2 ตัว จะต้องคำนึงถึง parameter ใดบ้าง
ข้อใดต่อไปนี้ถูกต้อง</t>
  </si>
  <si>
    <t>AUC0-inf และ Tmax</t>
  </si>
  <si>
    <t>AUC0-inf และ Cmax</t>
  </si>
  <si>
    <t>AUC0-inf และ Elimination half life</t>
  </si>
  <si>
    <t>Cmax และ Elimination half life</t>
  </si>
  <si>
    <t>Tmax และ Elimination half life</t>
  </si>
  <si>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</si>
  <si>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194 Pharma Plus เล่มม่วง (เฉลยข้อ จ)</t>
  </si>
  <si>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</si>
  <si>
    <t>Extrusion and spheronization</t>
  </si>
  <si>
    <t>Rolling compaction</t>
  </si>
  <si>
    <t>Slugging</t>
  </si>
  <si>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</si>
  <si>
    <t>Mock PLE-CC 1 ข้อ 6</t>
  </si>
  <si>
    <t>ข้อใดคือเหตุผลสำคัญที่สุดในการเลือกผลิตยา Ramipril ในรูปแบบแคปซูลเจลาตินแข็งแทนรูปแบบยาเม็ดทั่วไป</t>
  </si>
  <si>
    <t>ป้องกันแสง</t>
  </si>
  <si>
    <t>ป้องกันความชื้น</t>
  </si>
  <si>
    <t>ลดความแปรปรวนของอัตราการละลาย</t>
  </si>
  <si>
    <t>แก้ปัญหาผงยาตอกอัดไม่ดี</t>
  </si>
  <si>
    <t>เพิ่มการออกฤทธิ์เนิ่นโดยไม่ต้องเคลือบ</t>
  </si>
  <si>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</si>
  <si>
    <t>Capsule Formulation</t>
  </si>
  <si>
    <t>Mock PLE-CC 1 ข้อ 19</t>
  </si>
  <si>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</si>
  <si>
    <t>ทุก lot ผ่านเกณฑ์ทั้งหมด</t>
  </si>
  <si>
    <t>ผ่านเฉพาะ lot 1</t>
  </si>
  <si>
    <t>ผ่านเฉพาะ lot 3</t>
  </si>
  <si>
    <t>ผ่านเฉพาะ lot 1 และ lot 3</t>
  </si>
  <si>
    <t>ไม่มี lot ใดผ่านเกณฑ์</t>
  </si>
  <si>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</si>
  <si>
    <t>Dissolution Testing</t>
  </si>
  <si>
    <t>Mock PLE-CC 1 ข้อ 22</t>
  </si>
  <si>
    <t>สารในข้อใดไม่ใช่สารช่วยที่ใช้ในกระบวนการเคลือบน้ำตาลของยาเม็ด (Sugar-coated tablet)</t>
  </si>
  <si>
    <t>Beeswax / Carnauba wax</t>
  </si>
  <si>
    <t>Colloidal silicon dioxide (CSD)</t>
  </si>
  <si>
    <t>Acrylate polymer (Eudragit)</t>
  </si>
  <si>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</si>
  <si>
    <t>Sugar Coating</t>
  </si>
  <si>
    <t>Mock PLE-CC 1 ข้อ 89</t>
  </si>
  <si>
    <t>ข้อใดคือการควบคุมระหว่างกระบวนการผลิต (In-Process Control: IPC) ที่สำคัญที่สุดในการประเมินความหนาของชั้นเคลือบยาเม็ดเคลือบน้ำตาล</t>
  </si>
  <si>
    <t>Uniformity of dosage units</t>
  </si>
  <si>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</si>
  <si>
    <t>Sugar Coating IPC</t>
  </si>
  <si>
    <t>Mock PLE-CC 1 ข้อ 90</t>
  </si>
  <si>
    <t>ข้อใดกล่าวไม่ถูกต้องเกี่ยวกับยาเม็ดเคลือบน้ำตาล (Sugar-coated tablets)</t>
  </si>
  <si>
    <t>จัดเป็นยาเม็ดในรูปแบบปลดปล่อยทันที (Immediate release)</t>
  </si>
  <si>
    <t>หากผู้ป่วยมือเปียกสัมผัสเม็ดยา จะทำให้ชั้นนอกของเม็ดเคลือบละลายเหนียวทันที</t>
  </si>
  <si>
    <t>ผู้ป่วยที่เป็นโรคเบาหวานสามารถรับประทานยาเม็ดเคลือบน้ำตาลได้ตามปกติ</t>
  </si>
  <si>
    <t>มีส่วนประกอบของ sucrose และ polyols ในน้ำเชื่อมเคลือบ</t>
  </si>
  <si>
    <t>เหมาะสำหรับสูตรตำรับตัวยาสำคัญที่ไวต่อความชื้นและน้ำอย่างยิ่ง</t>
  </si>
  <si>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</si>
  <si>
    <t>Sugar Coating Evaluation</t>
  </si>
  <si>
    <t>Mock PLE-CC 1 ข้อ 91</t>
  </si>
  <si>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</si>
  <si>
    <t>Sterile vehicle / Solvent</t>
  </si>
  <si>
    <t>Propellant (สารขับดัน)</t>
  </si>
  <si>
    <t>Tonicity adjusting agent</t>
  </si>
  <si>
    <t>Antimicrobial preservative</t>
  </si>
  <si>
    <t>Solubilizer</t>
  </si>
  <si>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</si>
  <si>
    <t>Inhalation Formulation</t>
  </si>
  <si>
    <t>Mock PLE-CC 1 ข้อ 101</t>
  </si>
  <si>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</si>
  <si>
    <t>Effervescent tablet</t>
  </si>
  <si>
    <t>Enteric coated tablet</t>
  </si>
  <si>
    <t>Plain uncoated tablet</t>
  </si>
  <si>
    <t>Film coated tablet</t>
  </si>
  <si>
    <t>Compaction coated tablet</t>
  </si>
  <si>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</si>
  <si>
    <t>Film Coating Formulation</t>
  </si>
  <si>
    <t>Mock PLE-CC 1 ข้อ 113</t>
  </si>
  <si>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</si>
  <si>
    <t>Triacetin (Plasticizer)</t>
  </si>
  <si>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</si>
  <si>
    <t>Coating Stability &amp; Packaging</t>
  </si>
  <si>
    <t>Mock PLE-CC 1 ข้อ 114</t>
  </si>
  <si>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</si>
  <si>
    <t>Monotropic polymorphs (Stable form)</t>
  </si>
  <si>
    <t>Enantiotropic polymorphs</t>
  </si>
  <si>
    <t>Amorphous anhydrates</t>
  </si>
  <si>
    <t>Crystalline hydrates</t>
  </si>
  <si>
    <t>Mixed solvates</t>
  </si>
  <si>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</si>
  <si>
    <t>Preformulation &amp; Polymorphism</t>
  </si>
  <si>
    <t>Mock PLE-CC 1 ข้อ 115</t>
  </si>
  <si>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</si>
  <si>
    <t>Mupirocin 2% ointment ทาวันละ 2-3 ครั้ง</t>
  </si>
  <si>
    <t>Moisturizing cream ทาวันละ 2-3 ครั้ง</t>
  </si>
  <si>
    <t>Acyclovir 5% cream ทาวันละ 5 ครั้ง</t>
  </si>
  <si>
    <t>Acyclovir 400 mg tablet รับประทานวันละ 5 ครั้ง</t>
  </si>
  <si>
    <t>Desoximetasone 0.25% cream ทาวันละ 2 ครั้ง</t>
  </si>
  <si>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</si>
  <si>
    <t>Dermatology &amp; Topicals</t>
  </si>
  <si>
    <t>Mock PLE-CC 1 ข้อ 120</t>
  </si>
  <si>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</si>
  <si>
    <t>Colloidal silicon dioxide</t>
  </si>
  <si>
    <t>Sodium Lauryl Sulfate</t>
  </si>
  <si>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</si>
  <si>
    <t>Tablet Excipients &amp; Glidants</t>
  </si>
  <si>
    <t>ข้อสอบเก่า 2567 ข้อ 15</t>
  </si>
  <si>
    <t>Alkaline stearate (sodium stearate, magnesium stearate)</t>
  </si>
  <si>
    <t>Tablet &amp; Solid Dosage</t>
  </si>
  <si>
    <t>Film Coating with Hydroxypropyl methylcellulose (HPMC)</t>
  </si>
  <si>
    <t>Enteric Coating with Cellulose acetate phthalate (CAP)</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</si>
  <si>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</si>
  <si>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</si>
  <si>
    <t>Weight Variation (WV)</t>
  </si>
  <si>
    <t>Content Uniformity (CU)</t>
  </si>
  <si>
    <t>Assay test</t>
  </si>
  <si>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</si>
  <si>
    <t>Uniformity of Dosage Units</t>
  </si>
  <si>
    <t>ข้อสอบเก่า 2567 ข้อ 17</t>
  </si>
  <si>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</si>
  <si>
    <t>Polyethylene Glycol (PEG)</t>
  </si>
  <si>
    <t>Calcium phosphate dibasic</t>
  </si>
  <si>
    <t>Titanium Dioxide (TiO2)</t>
  </si>
  <si>
    <t>Kaolin / Clay</t>
  </si>
  <si>
    <t>Colloidal silica (Colloidal silicon dioxide)</t>
  </si>
  <si>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</si>
  <si>
    <t>Tableting Problems &amp; Glidants</t>
  </si>
  <si>
    <t>ข้อสอบเก่า 2567 ข้อ 96</t>
  </si>
  <si>
    <t>การทดสอบใดไม่จำเป็นต้องทำในยาเม็ดรูปแบบ uncoated มีตัวยาสำคัญ 10 mg และมีน้ำหนักเม็ดยาเฉลี่ย 200 mg</t>
  </si>
  <si>
    <t>ยาอันตราย ขย1 ขายได้</t>
  </si>
  <si>
    <t>วจ2 โรงพยาบาลเท่านั้น และสั่งใช้โดยแพทย์</t>
  </si>
  <si>
    <t>ยส3 ขย1 ขายได้ ต้องมีใบสั่งแพทย์</t>
  </si>
  <si>
    <t>วจ4 ขย1 ขายได้ ต้องมีใบสั่งแพทย์</t>
  </si>
  <si>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</si>
  <si>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PLE_CC1_2567_Set1_Key ข้อ 64</t>
  </si>
  <si>
    <t>ยาเม็ดมีป-ญหาน้ำหนักไม6สม่ำเสมอ เนื่องจากผงยาไหลลงเข@าไม6เท6ากันจากการไหลไม6ดี ควรเติมสารใด</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</si>
  <si>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</si>
  <si>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PLE_CC1_2567_Set1_Key ข้อ 96</t>
  </si>
  <si>
    <t>ข@อใดไม6เกี่ยวกับการทดสอบเชื้อจุลชีพใน tablets</t>
  </si>
  <si>
    <t>Container-closure integrity</t>
  </si>
  <si>
    <t>Moisture test</t>
  </si>
  <si>
    <t>Microbial enumeration test</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</si>
  <si>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</si>
  <si>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PLE_CC1_2567_Set1_Key ข้อ 98</t>
  </si>
  <si>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</si>
  <si>
    <t>Immediate-release tablets</t>
  </si>
  <si>
    <t>Extended-release tablets</t>
  </si>
  <si>
    <t>Chewable tablets</t>
  </si>
  <si>
    <t>Delayed-release tablets (Enteric-coated)</t>
  </si>
  <si>
    <t>Sublingual tablets</t>
  </si>
  <si>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</si>
  <si>
    <t>Dissolution of Enteric Dosage Forms</t>
  </si>
  <si>
    <t>ข้อสอบเก่า 2566 Day 1 ข้อ 25</t>
  </si>
  <si>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</si>
  <si>
    <t>Weight variation (WV)</t>
  </si>
  <si>
    <t>Content uniformity (CU)</t>
  </si>
  <si>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</si>
  <si>
    <t>Sugar Coating Quality Control</t>
  </si>
  <si>
    <t>ข้อสอบเก่า 2566 Day 1 ข้อ 46</t>
  </si>
  <si>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</si>
  <si>
    <t>แต่ละเม็ดต้องละลายได้ไม่ต่ำกว่า 75%</t>
  </si>
  <si>
    <t>แต่ละเม็ดต้องละลายได้ไม่ต่ำกว่า 80% (Q)</t>
  </si>
  <si>
    <t>แต่ละเม็ดต้องละลายได้ไม่ต่ำกว่า 85% (Q + 5%)</t>
  </si>
  <si>
    <t>แต่ละเม็ดต้องละลายได้ไม่ต่ำกว่า 90% (Q + 10%)</t>
  </si>
  <si>
    <t>ค่าเฉลี่ยของ 6 เม็ดต้องไม่ต่ำกว่า 80% และไม่มีเม็ดใดต่ำกว่า 65%</t>
  </si>
  <si>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</si>
  <si>
    <t>Dissolution Testing USP &lt;711&gt;</t>
  </si>
  <si>
    <t>ข้อสอบเก่า 2566 Day 2 ข้อ 89</t>
  </si>
  <si>
    <t>ชื่อยา imdur (ยี่หอ) ใหส;วนประกอบยามา จำไดแค;มี magnesium stearate ขอใดถูกตอง เ,น Lubricant</t>
  </si>
  <si>
    <t>ระบบ matrix ของยาสามารถหักแบ;งไดแต;หามเคี้ยว (ไม;ชัวรç)</t>
  </si>
  <si>
    <t>ระบบ reservoir ของยาตัวนี้สามารถหักแบ;งและเคี้ยวได(ไม;ชัวรç)</t>
  </si>
  <si>
    <t>กินพรอมยาลดกรดได</t>
  </si>
  <si>
    <t>Na stearate ทำหนาที่คลาย Mg stearate ในนี้</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</si>
  <si>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</si>
  <si>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PLE_CC1_2565_Day1_Key ข้อ 9</t>
  </si>
  <si>
    <t>หากบุตรสาวตองไดรับ prednisolone tablet เปMนระยะเวลานาน ไม;ควรไดวัคซีนใด</t>
  </si>
  <si>
    <t>Hepatitis B</t>
  </si>
  <si>
    <t>Rabies</t>
  </si>
  <si>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</si>
  <si>
    <t>PLE_CC1_2565_Day1_Key ข้อ 55</t>
  </si>
  <si>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</si>
  <si>
    <t>ใน monograph นี้ใชbasket ทดสอบ</t>
  </si>
  <si>
    <t>เกณฑçผ;านมาตรฐาน = 75%</t>
  </si>
  <si>
    <t>เปMนการทดสอบ disintegration</t>
  </si>
  <si>
    <t>เปMนการทดสอบ dissolution</t>
  </si>
  <si>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</si>
  <si>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PLE_CC1_2565_Day1_Key ข้อ 89</t>
  </si>
  <si>
    <t>จากรูปป8ญหายาเม็ดนี้ คืออะไร (รูปจริงเปQนขาวดำทมิฬมาเลยจ$า) ………………………………………………………………………………………………………………………………………………………… …………………………………………………………………………………………………………………………………………………………..</t>
  </si>
  <si>
    <t>Magnesium stearate (Lubricant 1%)</t>
  </si>
  <si>
    <t>Sodium starch glycolate (Superdisintegrant)</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</si>
  <si>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</si>
  <si>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PLE_CC1_2565_Day2_Key ข้อ 73</t>
  </si>
  <si>
    <t>ผลิตยาเม็ด ferrous บอกว่า each tablet contains 200 mg ferrous fumarate dried equivalent to X mg ferrous fumarate ผลิต 100,000 เม็ด ต้องใช้ยาเท่าไหร่</t>
  </si>
  <si>
    <t>ferrous fumarate 20 kg</t>
  </si>
  <si>
    <t>ferrous fumarate 20000 kg</t>
  </si>
  <si>
    <t>ferrous fumarate anhydrous 200 kg</t>
  </si>
  <si>
    <t>ferrous fumarate anhydrous 20000 g 100,000X mg หรือ 100X g หรือ X kg (เทียบบัญญัติไตรยาง) (BMI 25-29.9) http://apps.who.int/iris/handle/10665/206936?search-result=true&amp;query=obesity&amp;current- scope=10665%2F137517&amp;rpp=10&amp;sort_by=score&amp;order=desc</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</si>
  <si>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</si>
  <si>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PLE_CC1_2564_All_Key ข้อ 46</t>
  </si>
  <si>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</si>
  <si>
    <t>Dry Granulation (Roller Compaction)</t>
  </si>
  <si>
    <t>Fluidized Bed Granulation</t>
  </si>
  <si>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</si>
  <si>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PLE_CC1_2564_All_Key ข้อ 60</t>
  </si>
  <si>
    <t>antifungal vaginal tablet ร้านยาเก็บที่อุณหภูมิที่เท่าไร</t>
  </si>
  <si>
    <t>2-8 อC</t>
  </si>
  <si>
    <t>25-30 อC</t>
  </si>
  <si>
    <t>-25...</t>
  </si>
  <si>
    <t>มากกว่า 30 แต่จำช่วงไม่ได้</t>
  </si>
  <si>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</si>
  <si>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PLE_CC1_2564_All_Key ข้อ 115</t>
  </si>
  <si>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</si>
  <si>
    <t>Direct Compression tableting method</t>
  </si>
  <si>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</si>
  <si>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PLE_CC1_2564_All_Key ข้อ 130</t>
  </si>
  <si>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</si>
  <si>
    <t>Wet Granulation tableting method</t>
  </si>
  <si>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</si>
  <si>
    <t>PLE_CC1_2564_All_Key ข้อ 141</t>
  </si>
  <si>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</si>
  <si>
    <t>Matrix type</t>
  </si>
  <si>
    <t>Reservoir type</t>
  </si>
  <si>
    <t>Multiple unit system</t>
  </si>
  <si>
    <t>Osmotic pump</t>
  </si>
  <si>
    <t>Membrane controlled type</t>
  </si>
  <si>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</si>
  <si>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63 (PLE_CC1_2562_Key.md)</t>
  </si>
  <si>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</si>
  <si>
    <t>รูปแบบควบคุมการปลดปล่อยยา</t>
  </si>
  <si>
    <t>สารช่วยในการปลดปล่อยตัวยา acrylic ester</t>
  </si>
  <si>
    <t>สามารถบดเม็ดยา แต่ห้ามเคี้ยว</t>
  </si>
  <si>
    <t>หน้าที่ titanium dioxide คือ opacifier</t>
  </si>
  <si>
    <t>Croscarmellose ทำให้ตัวยาปลดปล่อยนานกว่า plain tablets</t>
  </si>
  <si>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</si>
  <si>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105 (PLE_CC1_2562_Key.md)</t>
  </si>
  <si>
    <t>ข้อใดถูกต้องเกี่ยวกับคุณสมบัติของสารที่เป็นส่วนประกอบในชั้น coat ของ cyclophosphamide coated tablet O</t>
  </si>
  <si>
    <t>Sucrose - sweetening agent</t>
  </si>
  <si>
    <t>Titanium dioxide ı opacifier</t>
  </si>
  <si>
    <t>Lactose monohydrate ı film former</t>
  </si>
  <si>
    <t>Calcium hydrogen phosphate dehydrate ı film former</t>
  </si>
  <si>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</si>
  <si>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</si>
  <si>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117 (PLE_CC1_2562_Key.md)</t>
  </si>
  <si>
    <t>Rifampicin 150 mg or 300 mg มีสารช่วย com starch, SLS, gelatin, magnesium stearate แคปซูลไม่สม่ำเสมอ X &amp; sid-1 + frien rustine ~ Dalweng - X ิenscien alVestssite สารใดในตำรับส่งผลต่อ uniformity of weight</t>
  </si>
  <si>
    <t>Corn stearate</t>
  </si>
  <si>
    <t>TiO2</t>
  </si>
  <si>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</si>
  <si>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เม็ดยา calcium carbonate 1.5 กรัมมีปัญหากร่อนแตกหักง่ายควรเพิ่มสารใดในตำรับ = - Tunisia X vie Fa .mision120140 X ~ - X binder binder</t>
  </si>
  <si>
    <t>Colloidal SiO2</t>
  </si>
  <si>
    <t>Crosscamellose sodium binderta Starch paste sitsen anti adherance lubricant disintegrant หË´มนาÆปทาซËาทืกกรณิ ÂวËนาต้จ²ÆดËรงบ¯นืญ´ต /</t>
  </si>
  <si>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</si>
  <si>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80 (PLE_CC1_2562_Key.md)</t>
  </si>
  <si>
    <t>จากสูตรตำรับ calcium effervescent tablet ประกอบด้วย calcium carbonate, citric add, tartaric acid, immee Gerries X verdoned inerie First in F out - sodium bicarbonate, sodium benzoate, sodium saccharin, PVP K30 ข้อใดคือ effervescent base</t>
  </si>
  <si>
    <t>Citric acid, sodium bicarbonate</t>
  </si>
  <si>
    <t>Citric acid, sodium benzoate</t>
  </si>
  <si>
    <t>Tartaric acid, PVP K30</t>
  </si>
  <si>
    <t>Tartaric acid, sodium saccharin</t>
  </si>
  <si>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</si>
  <si>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</si>
  <si>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84 (PLE_CC1_2562_Key.md)</t>
  </si>
  <si>
    <t>ผูป%วยรับประทาน diclofenac tablet ที่ซื้อมาจากรานขายของชำ แต!ไม!ไดรับประทานยาที่แพทยTสั่งจ!ายจัดเปEน DRP ชนิดใด</t>
  </si>
  <si>
    <t>Dose too high</t>
  </si>
  <si>
    <t>Non-adherence</t>
  </si>
  <si>
    <t>Unnecessary drug</t>
  </si>
  <si>
    <t>Untreated indication</t>
  </si>
  <si>
    <t>Improper drug selection</t>
  </si>
  <si>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</si>
  <si>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21 (PLE_CC1_2561_Key.md)</t>
  </si>
  <si>
    <t>ผูป%วยไปซื้อยา diclofenac tablet มาจากรานขายของชำ รานชำ สามารถขายยาชนิดนี้ไดหรือไม!</t>
  </si>
  <si>
    <t>ขายไดเพราะเปEนยาแผนปtจจุบันบรรจุเสร็จ</t>
  </si>
  <si>
    <t>ขายไดเพราะเปEนยาสามัญประจำบาน</t>
  </si>
  <si>
    <t>ขายไดเพราะยานี้ไม!จำเปEนตองขายโดยเภสัช</t>
  </si>
  <si>
    <t>ขายไม!ไดในรานชำ เพราะเปEนยาอันตราย</t>
  </si>
  <si>
    <t>ขายไม!ไดในรานชำ เพราะเปEนยาควบคุมพิเศษ e</t>
  </si>
  <si>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</si>
  <si>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20 (PLE_CC1_2561_Key.md)</t>
  </si>
  <si>
    <t>หากต้องการพัฒนาต้ารับยาเม็ด azitromycin เพื่อให้สามารถแตกตัวได้ดี ควรเติมสารเเตกตัวยิ่งยวด superdisintegrant ตัวใด</t>
  </si>
  <si>
    <t>Pegelatinized starch</t>
  </si>
  <si>
    <t>Sodium croscarmellose</t>
  </si>
  <si>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</si>
  <si>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Enalapril tablet 10 mg ต้องท้า Direct compression เหตุผลข้อใด เป็นเหตุผลส้าคัญที่ต้องท้าแบบนี</t>
  </si>
  <si>
    <t>ยาทนความชื นได้</t>
  </si>
  <si>
    <t>ยาไม่ทนความร้อนสูง</t>
  </si>
  <si>
    <t>ยาน้อยท้าให้ผสมเข้ากันได้</t>
  </si>
  <si>
    <t>ยาผสมเข้ากับ excipient ในต้ารับได้ง่าย</t>
  </si>
  <si>
    <t>ใช้ Roller compactor ในการท้า wet granulation</t>
  </si>
  <si>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</si>
  <si>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ยาเม็ดเคลือบฟิลม์ ผลิตแล้วพบว่าเม็ดยาติดกัน มีวิธีแก้ไขอย่างไร</t>
  </si>
  <si>
    <t>ลดความเข้มข้นของสารเคลือบ</t>
  </si>
  <si>
    <t>เพิ่มความร้อนของลมที่เข้าเครื่อง</t>
  </si>
  <si>
    <t>เพิ่มอัตราการไหลของสารเคลือบผ่านหัวสเปรย์</t>
  </si>
  <si>
    <t>ลดความเร็วของการหมุนถังเคลือบ</t>
  </si>
  <si>
    <t>เพิ่มความดันของสเปรย์</t>
  </si>
  <si>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</si>
  <si>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เครื่องมือที่ใช้ในการผสม Magnesium stearate กับ Granule</t>
  </si>
  <si>
    <t>Double cone mixer</t>
  </si>
  <si>
    <t>Ribbon mixer</t>
  </si>
  <si>
    <t>Sigma blade mixer</t>
  </si>
  <si>
    <t>High speed mixer</t>
  </si>
  <si>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</si>
  <si>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สารใดเป็น Superdisintegrant</t>
  </si>
  <si>
    <t>HPMC 9 MCQ11 2/2560 By CU Rx73 MCQ11 2/2560 By CU Rx73</t>
  </si>
  <si>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</si>
  <si>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 (PLE_CC1_2560 22 April Set 2.md)</t>
  </si>
  <si>
    <t>ปัจจัยใดไม่เกี่ยวข้องกับปัญหาปริมาณยาในยาเม็ดไม่สม ่าเสมอ</t>
  </si>
  <si>
    <t>ความพรุน</t>
  </si>
  <si>
    <t>Compressibility</t>
  </si>
  <si>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</si>
  <si>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</si>
  <si>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 (PLE_CC1_2560 22 April Set 2.md)</t>
  </si>
  <si>
    <t>ยาเม็ด ferrous sulfate 100 mg จะได้ ferrous 20 mg หากต้องการให้ ferrous ผู้ป่วย 60 mg ต้องใช้กี่เม็ด</t>
  </si>
  <si>
    <t>1 เม็ด</t>
  </si>
  <si>
    <t>2 เม็ด</t>
  </si>
  <si>
    <t>3 เม็ด</t>
  </si>
  <si>
    <t>4 เม็ด</t>
  </si>
  <si>
    <t>5 เม็ด</t>
  </si>
  <si>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</si>
  <si>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82 (PLE_CC1_2559.md)</t>
  </si>
  <si>
    <t>จากสูตรตำรับนี้ Rx. AAA 300 mg Lactose 500 mg Corn starch 10% ถ้าตำรับยาเม็ดที่ได้แตกตัวไม่ดีจะแก้ไขอย่างไร</t>
  </si>
  <si>
    <t>เปลี่ยน lactose เป็น sodium starch glycolate</t>
  </si>
  <si>
    <t>เปลี่ยน lactose เป็น cross carmellose Na</t>
  </si>
  <si>
    <t>เปลี่ยน corn starch เป็น sodium starch glycolate</t>
  </si>
  <si>
    <t>เปลี่ยน corn starch เป็น cross carmellose Na</t>
  </si>
  <si>
    <t>เปลี่ยน corn starch เป็น PVP กรณีศึกษา 2 นอนไม่ได้</t>
  </si>
  <si>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</si>
  <si>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 (PLE_CC1_2558_Key.md)</t>
  </si>
  <si>
    <t>Furosemide tablet</t>
  </si>
  <si>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</si>
  <si>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Enalapril tablet</t>
  </si>
  <si>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</si>
  <si>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ทำไมถึงต้องควบคุมคุณภาพ enalaprilat ใน enalapril tablet</t>
  </si>
  <si>
    <t>เป็นสารออกฤทธิ์ร่วมของ enalapril</t>
  </si>
  <si>
    <t>เป็น related substance ของ enalapril</t>
  </si>
  <si>
    <t>เป็น prodrug ของ enalapril</t>
  </si>
  <si>
    <t>ยับยั้งการทำลาย enalapril</t>
  </si>
  <si>
    <t>เป็น inactive metabolite</t>
  </si>
  <si>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</si>
  <si>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58 (PLE_CC1_2558_Key.md)</t>
  </si>
  <si>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</si>
  <si>
    <t>ประวัติตั้งครรภ์</t>
  </si>
  <si>
    <t>ประวัติครอบครัวเป็นโรคมะเร็งลำไส้</t>
  </si>
  <si>
    <t>รับประทาน FBC</t>
  </si>
  <si>
    <t>รับประทาน Calcium Tablet</t>
  </si>
  <si>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</si>
  <si>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23 (Pharmtutor_2024_Set1.md)</t>
  </si>
  <si>
    <t>เมื่อนำไปทดสอบ disintegration test พบว่าไม่ผ่าน ควรเติมสารในตำรับเพิ่ม</t>
  </si>
  <si>
    <t>Calcium hydrogen phosphate (anhydrous)</t>
  </si>
  <si>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</si>
  <si>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104 (Pharmtutor_2024_Set1.md)</t>
  </si>
  <si>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</si>
  <si>
    <t>มาตรา 72</t>
  </si>
  <si>
    <t>มาตรา 72 ทวิ</t>
  </si>
  <si>
    <t>มาตรา 73</t>
  </si>
  <si>
    <t>มาตรา 74</t>
  </si>
  <si>
    <t>มาตรา 75 ทวิ</t>
  </si>
  <si>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</si>
  <si>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112 (Pharmtutor_2024_Set1.md)</t>
  </si>
  <si>
    <t>ระหว่างกระบวนการผลิตพบว่าน้ำหนักยาเม็ดไม่สม่ำเสมอ ควรปรับปรุงโดยการเพิ่มสารใดในตำรับ</t>
  </si>
  <si>
    <t>Copovidone</t>
  </si>
  <si>
    <t>Sorbitan laurate</t>
  </si>
  <si>
    <t>Colloidal anhydrous sillca</t>
  </si>
  <si>
    <t>Sodium stearyl fumarate</t>
  </si>
  <si>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</si>
  <si>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99 (Pharmtutor_2024_Set2.md)</t>
  </si>
  <si>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</si>
  <si>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</si>
  <si>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</si>
  <si>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</si>
  <si>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22 (PLE_CC1_2557.md)</t>
  </si>
  <si>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</si>
  <si>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</si>
  <si>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39 (PLE_CC1_2557.md)</t>
  </si>
  <si>
    <t>ผลิตภัณฑ์แคลเซียมรูปแบบใด ออกฤทธิAเร็วที_x001E_สุด (1) Plain-compressed tablets (2) Chewable tablets (3) Effervescent tablets (4) Enteric-coated tablets (5) Film-coated tablets</t>
  </si>
  <si>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</si>
  <si>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51 (PLE_CC1_2557.md)</t>
  </si>
  <si>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</si>
  <si>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</si>
  <si>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</si>
  <si>
    <t>เชื้ออะไรของ sinusitis ตอบ S.pneumo</t>
  </si>
  <si>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</si>
  <si>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ขั้นตอนการผลิตยาเม็ด Ethambutol ในข้อใดมีผลต่อความสม ่าเสมอของตัวยามากที่สุด</t>
  </si>
  <si>
    <t>Mixing</t>
  </si>
  <si>
    <t>Drying</t>
  </si>
  <si>
    <t>Coating</t>
  </si>
  <si>
    <t>Tableting</t>
  </si>
  <si>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</si>
  <si>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29 (PLE_CC1_2555 Day 1.md)</t>
  </si>
  <si>
    <t>ข้อใดไม่ถูกต้องเกี่ยวกับข้อดีของการผลิตยาเม็ดโดยการตอกตรง</t>
  </si>
  <si>
    <t>ใช้เครื่องมือในการผลิตน้อยชนิด</t>
  </si>
  <si>
    <t>กรรมวิธีในการผลิตน้อยขั้นตอน</t>
  </si>
  <si>
    <t>ผงยาไหลดี ตอกได้</t>
  </si>
  <si>
    <t>.............</t>
  </si>
  <si>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</si>
  <si>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</si>
  <si>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30 (PLE_CC1_2555 Day 1.md)</t>
  </si>
  <si>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</si>
  <si>
    <t>ยา A มีการละลายดีกว่ายา B เนื่องจากมี Lactose เพื่อช่วยให้ยาละลายดีขึ้น</t>
  </si>
  <si>
    <t>ยา B มีการละลายที่ดีกว่ายา A เนื่องจากมี Sodium lauryl sulfate เพื่อให้ผงยาเปียกได้มากขึ้น</t>
  </si>
  <si>
    <t>....................</t>
  </si>
  <si>
    <t>..................</t>
  </si>
  <si>
    <t>...................</t>
  </si>
  <si>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</si>
  <si>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36 (PLE_CC1_2555 Day 1.md)</t>
  </si>
  <si>
    <t>ข้อใดถูกต้องเกี่ยวกับตำรับยาเม็ด</t>
  </si>
  <si>
    <t>Sodium starch glycolate เป็นสารช่วยแตกตัว มือทั้ง 2 ข้าง</t>
  </si>
  <si>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</si>
  <si>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60 (PLE_CC1_2555 Day 1.md)</t>
  </si>
  <si>
    <t>เปลี่ยนไปใช้ antacid tablet แทน</t>
  </si>
  <si>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</si>
  <si>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ยาเม็ดที่มี Estrogen เพียงชนิดเดียว 28 เม็ด</t>
  </si>
  <si>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</si>
  <si>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ยาเม็ดที่มี Progesterone เพียงชนิดเดียว 28 เม็ด</t>
  </si>
  <si>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</si>
  <si>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ยาเม็ดที่มี Estrogen ชนิดเดียว 14 เม็ด และ Progesterone ชนิดเดียว 14 เม็ด</t>
  </si>
  <si>
    <t>ยาเม็ดที่มีทั้ง Estrogen และ Progesterone ทุกเม็ด 28 เม็ด</t>
  </si>
  <si>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</si>
  <si>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ในการทดสอบสูตรตำรับยาเม็ด ข้อใดที่ไม่ได้ระบุไว้ใน USP</t>
  </si>
  <si>
    <t>ให้สูตรตำรับมา 2 ตำรับ ข้อใดถูก สูตร A สูตร B Allopurinol … … … Sodium starch glycolate Magnesium stearate 15% Allopurinol … … … Microcrystalline cellulose Sodium lauryl sulfate Magnesium stearate 5%</t>
  </si>
  <si>
    <t>ข้อ 8 (PLE_CC1_2555 Day 2.md)</t>
  </si>
  <si>
    <t>magnesium stearate</t>
  </si>
  <si>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</si>
  <si>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</si>
  <si>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เท่ากับครึ่งหนึ่งของอายุยาเม็ดที่เหลือ</t>
  </si>
  <si>
    <t>การหาประสิทธิผลของยา เทียบกับราคา เรียกว่าเป็นการศึกษาอะไร</t>
  </si>
  <si>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</si>
  <si>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</si>
  <si>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</si>
  <si>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ข้อใดคือวัตถุประสงค์หลักในการในการทำ Ferrus sulphate ให้เป็น Enteric coated tablets</t>
  </si>
  <si>
    <t>สารเคลือบในตำรับที่ทำให้ Ferrus sulphate ให้เป็น Enteric coated tablets</t>
  </si>
  <si>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</si>
  <si>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 (PLE_CC1_2533.md)</t>
  </si>
  <si>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</si>
  <si>
    <t>ข้อใดถูกเกี่ยวกับยาเม็ด Furosemide</t>
  </si>
  <si>
    <t>รับประทานเวลาใดก็ได้ แต่ควรเป็นเวลาเดียวกันทุกวัน</t>
  </si>
  <si>
    <t>รับประทานไม่เกินเที่ยงวัน</t>
  </si>
  <si>
    <t>หากลืมรับประทาน สามารถรับประทานทันทีที่นึกขึ้นได้</t>
  </si>
  <si>
    <t>หลีกเลี่ยงการรับประทานร่วมกับนมและยาลดกรด</t>
  </si>
  <si>
    <t>หลังรับประทานยาแล้ว ให้ดื่มน้ำตามมากๆ</t>
  </si>
  <si>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</si>
  <si>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หากต้องการให้ยา Rifampicin มีรูปแบบเภสัชภัณฑ์เป็น enteric coated ควรเคลือบฟิล์มด้วยสารใด</t>
  </si>
  <si>
    <t>Hydroxypropyl methylcellulose</t>
  </si>
  <si>
    <t>Ethylcellulose</t>
  </si>
  <si>
    <t>Hydroxyethyl cellulose</t>
  </si>
  <si>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</si>
  <si>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Glibenglamide tablet (5) 1x2 ac</t>
  </si>
  <si>
    <t>Metfoemin tablet 1x3 ac</t>
  </si>
  <si>
    <t>Isosorbide mononitrate tablet 1x2 ac</t>
  </si>
  <si>
    <t>Aspirin tablet 1x1 pc จากข้อมูลดังกล่าว อาการใดต่อไปนี้ของคนไข้ไม่ใช่อาการ DM</t>
  </si>
  <si>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</si>
  <si>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Metformin tablet 1ข3 ac</t>
  </si>
  <si>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</si>
  <si>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</si>
  <si>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</si>
  <si>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</si>
  <si>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</si>
  <si>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14 (PLE_CC1_Practice_Exam.md)</t>
  </si>
  <si>
    <t>ถ้าหากพบว่ายาเม็ด Paracetamol มีการแยกตัว ออกเป็นชั้น แก้ปัญหาดังกล่าวอย่างไร</t>
  </si>
  <si>
    <t>ให้ใช้ punch ที่มีความโค้งมาก (deep concave punch )</t>
  </si>
  <si>
    <t>ให้ใช้ die ที่มีช่องด้านบนใหญ่กว่าด้านล่าง</t>
  </si>
  <si>
    <t>ลดความเร็วในการตอกลง</t>
  </si>
  <si>
    <t>เติมสารพวก hygroscopic ลงไปเพื่อไม่ใช้แกรนูลชื้นเกิน</t>
  </si>
  <si>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</si>
  <si>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</si>
  <si>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</si>
  <si>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</si>
  <si>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หากตำรับ orally disintegrating tablet มี disintegration time มากกว่า 2 นาที ควรเติมหรือเพิ่ม ปริมาณสารใดในตำรับ</t>
  </si>
  <si>
    <t>Dextose</t>
  </si>
  <si>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</si>
  <si>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ในการผลิต effervescent tablets ส่วนประกอบใดเป็นส่วนประกอบสำคัญในตำรับ</t>
  </si>
  <si>
    <t>Croscarmellose + sodium starch glycolate</t>
  </si>
  <si>
    <t>Citric acid + sodium bicarbonate</t>
  </si>
  <si>
    <t>Poly(methyl methacrylate) + triacetin</t>
  </si>
  <si>
    <t>Poly(ethylene glycol) 4000 + polyviynpyrrolidone</t>
  </si>
  <si>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</si>
  <si>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</si>
  <si>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ในการผลิตยา delayed-release tablets ข้อใดเป็นส่วนประกอบสำคัญในการควบคุมการปลดปล่อยยา</t>
  </si>
  <si>
    <t>Eudragit L</t>
  </si>
  <si>
    <t>Crospovidone</t>
  </si>
  <si>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</si>
  <si>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ข้อใดคือข้อเสียของ sugar-coated tablets เมื่อเก็บไว้เป็นเวลานาน</t>
  </si>
  <si>
    <t>attrition</t>
  </si>
  <si>
    <t>Roughness</t>
  </si>
  <si>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</si>
  <si>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</si>
  <si>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</si>
  <si>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</si>
  <si>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</si>
  <si>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Sugar coated tablets</t>
  </si>
  <si>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</si>
  <si>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Effervescent tablets</t>
  </si>
  <si>
    <t>52.ถ้าต้องการทำยา Glipizide เป็น controlled release tablet จะต้องคำนึงถึงปัจจัยด้านใดบ้าง</t>
  </si>
  <si>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</si>
  <si>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USP กำหนดให้ไม่ต้องทำ Disintegration time</t>
  </si>
  <si>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</si>
  <si>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</si>
  <si>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</si>
  <si>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</si>
  <si>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Friability+ Hardness</t>
  </si>
  <si>
    <t>Friability+ Weight variation</t>
  </si>
  <si>
    <t>Disintegrant+ Hardness</t>
  </si>
  <si>
    <t>Disintegrant + Dissolution</t>
  </si>
  <si>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</si>
  <si>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</si>
  <si>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</si>
  <si>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8.สูตรยาเม็ดเคลือบฟิล์ม Ethambutol สารใดเป็นสารช่วยแตกตัว</t>
  </si>
  <si>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</si>
  <si>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</si>
  <si>
    <t>กินยาเม็ดฟ้าทะลายโจร ตอนที่มีอาการเจ็บคอ</t>
  </si>
  <si>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</si>
  <si>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ในระหว่างกระบวนการผลิต หากเม็ดยาเคลือบฟิล์ม metformin ไม่สามารถ screen ข้อความติดได้เรียกการเกิดนี้ว่าอะไร</t>
  </si>
  <si>
    <t>Friability (ความกร่อน)</t>
  </si>
  <si>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</si>
  <si>
    <t>Disintegration time</t>
  </si>
  <si>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</si>
  <si>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</si>
  <si>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 Theophylline 200 mg ยาเม็ดหนัก 0.27 g มี Bulk volume 0.09 cm3 ความหนาแน่นที่แท้จริง</t>
  </si>
  <si>
    <t>00 g/cm3 จงหา %total porosity [กำหนด % total porosity = (1-(bulk density/true density) )x 100]</t>
  </si>
  <si>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</si>
  <si>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</si>
  <si>
    <t>ผู้ป่วยป่วยเป็นโรคอะไร</t>
  </si>
  <si>
    <t>allergic conjunctivitis</t>
  </si>
  <si>
    <t>bacterial conjunctivitis</t>
  </si>
  <si>
    <t>cataract</t>
  </si>
  <si>
    <t>glaucoma</t>
  </si>
  <si>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</si>
  <si>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Disintegration, Dissolution, Flowability &amp; = ข จบqานrผม / &amp; = = เSนOษWอl0 6hHrestrd 1T 6 - ข ข x เHypwglyamro j ข &amp;</t>
  </si>
  <si>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</si>
  <si>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Stability, Moisture permeation, Friability</t>
  </si>
  <si>
    <t>Weight validation, Drug content, Disintegration</t>
  </si>
  <si>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</si>
  <si>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</si>
  <si>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Anti-foaming agent สารหลGอลื่น (Lubricants) Talc Stearic acid Magnesium stearate Polyethylene glycol Surfactants Vegetable oil</t>
  </si>
  <si>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</si>
  <si>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</si>
  <si>
    <t>Wet granulation โดยใช$น้ำเปญนตัวทำละลาย binder</t>
  </si>
  <si>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</si>
  <si>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Wet granulation โดยใช$ตัวทำละลายอินทรีย_เปญนตัวทำละลาย binder</t>
  </si>
  <si>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</si>
  <si>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Dry granulation โดยเครื่อง Roller compactor</t>
  </si>
  <si>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</si>
  <si>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</si>
  <si>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</si>
  <si>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ลดปริมาณ Binder ในตำรับ</t>
  </si>
  <si>
    <t>Magnesium stearate เปญนสาร....</t>
  </si>
  <si>
    <t>ยาเม็ด calcium carbonate เกิด capping ข้อใดไม่ใช่วิธีแก้ปัญหาดังกล่าว</t>
  </si>
  <si>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</si>
  <si>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Acyclovir tablet ก็ให้ยาฆ่าเชื้อแบคทีเรีย</t>
  </si>
  <si>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</si>
  <si>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การวิเคราะห์ที่ไม่ต้องทำในการวิเคราะห์วัตถุดิบ XXX Tablet</t>
  </si>
  <si>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</si>
  <si>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ในการผลิต Azithromycin สามารถใช้สารใดเป็น Superdisintegrant</t>
  </si>
  <si>
    <t>Pregelatinized starch</t>
  </si>
  <si>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</si>
  <si>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26 (PLE_CC1_Key_Rx20_UBU.md)</t>
  </si>
  <si>
    <t>การผสม Magnesium stearate กับ granule ในขั้นตอนสุดท้าย ใช้เครื่องมือใด</t>
  </si>
  <si>
    <t>Double-cone mixer</t>
  </si>
  <si>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</si>
  <si>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</si>
  <si>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เพราะเหตุใด Omeprazole จึงต้องทำเป็น Enteric-coated tablet</t>
  </si>
  <si>
    <t>Acid labile</t>
  </si>
  <si>
    <t>Heat labile</t>
  </si>
  <si>
    <t>high molecular weight</t>
  </si>
  <si>
    <t>short half-life</t>
  </si>
  <si>
    <t>lipophilicity</t>
  </si>
  <si>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</si>
  <si>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Metformin 500 mg tablet มีปัญหาน้ำหนักเม็ดยาไม่สม่ำเสมอแก้ปัญหาได้โดยวิธีเติมสารใด</t>
  </si>
  <si>
    <t>Colloidal silicon dioxide + Talcum</t>
  </si>
  <si>
    <t>Lactose + Corn starch</t>
  </si>
  <si>
    <t>Sodium starch glycolate + …</t>
  </si>
  <si>
    <t>Magnesium stearte + Lactose</t>
  </si>
  <si>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</si>
  <si>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</si>
  <si>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dosage form ของ clotrimazole vaginal tablet สามารถเรียกอีกชื่อหนึ่งได้ว่าอะไร</t>
  </si>
  <si>
    <t>lozenges</t>
  </si>
  <si>
    <t>troches</t>
  </si>
  <si>
    <t>pessaries</t>
  </si>
  <si>
    <t>enemas</t>
  </si>
  <si>
    <t>pills</t>
  </si>
  <si>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</si>
  <si>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</si>
  <si>
    <t>เม็ดยามีความ Hydrophobic มากเกินไป</t>
  </si>
  <si>
    <t>ตำรับฟิล์มขาด Plasticizer</t>
  </si>
  <si>
    <t>ตำรับฟิล์มขาด Anti-tacking agent</t>
  </si>
  <si>
    <t>ความเข้มข้นของตำรับฟิล์มน้อยเกินไป</t>
  </si>
  <si>
    <t>เม็ดยาชื้นเกินไป การเตรียมฟิล์มเคลือบยา ส่วนประกอบสำคัญให้น้ำยาเคลือบดี ไม่ขาดร่อนคือการใส่ plasticizer</t>
  </si>
  <si>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</si>
  <si>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Magnesium stearate ทำหน้าที่อะไร</t>
  </si>
  <si>
    <t>เพิ่มมวลของเม็ดยา</t>
  </si>
  <si>
    <t>ทำให้เม็ดยาแข็งขึ้น</t>
  </si>
  <si>
    <t>ทำให้เม็ดยาเกาะกันได้ดีขึ้น</t>
  </si>
  <si>
    <t>ช่วยทำให้เม็ดยามีความแข็งมากขึ้น</t>
  </si>
  <si>
    <t>ทำให้ไม่ติด punch-die</t>
  </si>
  <si>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</si>
  <si>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ยาเม็ดสีฟ้าขาว แบ่งจากบริษัท A บรรจุใส่กระปุก 3 กระปุก โดยติดฉลากใหม่ว่า “พอนสะแตน”</t>
  </si>
  <si>
    <t>ยาเม็ดกลมสีเหลือง และเม็ดกลมสีขาว จัดเป็นชุดใส่ซอง เตรียมไว้ล่วงหน้า เขียนฉลากว่า แก้ปวด จำนวน 36 ซอง</t>
  </si>
  <si>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</si>
  <si>
    <t>กรณีพบยาเม็ดฟ้าขาว บรรจุกระปุก ฉลากระบุ “พอนสะแตน” ใครผิด ผิดอย่างไร</t>
  </si>
  <si>
    <t>นาย ค ผิด ฐานขายยาปลอม</t>
  </si>
  <si>
    <t>นาง ข ผิด ฐานขายยาปลอม</t>
  </si>
  <si>
    <t>ภญ. ก ผิด ฐานผลิตยาปลอม</t>
  </si>
  <si>
    <t>ภญ. ก ผิด ฐานผลิตยาที่ไม่ได้ขึ้นทะเบียน</t>
  </si>
  <si>
    <t>ภญ. ก ผิด ฐานฉลากไม่ครบถ้วน</t>
  </si>
  <si>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</si>
  <si>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111 (PLE_CC1_Key_Rx20_UBU.md)</t>
  </si>
  <si>
    <t>ตำรับ calcium carbonate effervescent tablet เอาออกจากขวดพบว่าเกิดการเยิ้มเหลว เหนียว เกิดจากปริมาณสารใดมากเกินไปในตำรับ</t>
  </si>
  <si>
    <t>Tartaric acid</t>
  </si>
  <si>
    <t>Sodium bicarbinate</t>
  </si>
  <si>
    <t>Sodium carbonate</t>
  </si>
  <si>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</si>
  <si>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</si>
  <si>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</si>
  <si>
    <t>ไม่สามารถทำการศึกษาไปข้างหน้าได้</t>
  </si>
  <si>
    <t>ใช้การศึกษา cost - analysis</t>
  </si>
  <si>
    <t>ดูผล QALY เป็นการศึกษาแบบ Cost - benefit</t>
  </si>
  <si>
    <t>ค่าเดินทางไปรักษาเป็นต้นทุนทางอ้อม</t>
  </si>
  <si>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</si>
  <si>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</si>
  <si>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Subcoating เพื่อให้ได้ขอบยาเม็ดกลมมน</t>
  </si>
  <si>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</si>
  <si>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Magnesium stearate มีส่วนประกอบดังนี้คือ Microcrystalline cellulose, Starch, Lactose, Colloidal silicon dioxide, SLS ข้อใดคือารช่วยลื่นไหลในตำรับ</t>
  </si>
  <si>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</si>
  <si>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Solid Dosage Forms &amp; Manufacturing</t>
  </si>
  <si>
    <t>ข้อสอบจริง Product ปี 2567 ข้อ 15</t>
  </si>
  <si>
    <t>ยาเม็ดมีปัญาน้ำหนักไม่สม่ำเมอ เนื่องจากผงยาไหลลงเข้าไม่เท่ากันจากการไหลไม่ดี ควรเติมสารใด</t>
  </si>
  <si>
    <t>PEG (Polyethylene Glycol)</t>
  </si>
  <si>
    <t>TiO2 (Titanium Dioxide)</t>
  </si>
  <si>
    <t>Clay</t>
  </si>
  <si>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</si>
  <si>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2567 ข้อ 33</t>
  </si>
  <si>
    <t>ข้อใดไม่เกี่ยวกับการทดสอบเชื้อจุลชีพใน tablets</t>
  </si>
  <si>
    <t>container-closure integrity</t>
  </si>
  <si>
    <t>sterility test</t>
  </si>
  <si>
    <t>microbial enumeration test</t>
  </si>
  <si>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</si>
  <si>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2567 ข้อ 35</t>
  </si>
  <si>
    <t>(ปี 2566, Day 2 ข้อ 71\) (เรื่อง: Uniformity of Dosage Unit - Domperidone/Omeprazole) ⚠️ Domperidone 10 mg tablets และ Omeprazole 25 mg capsules ควรใช้วิธีใดตรวจ uniformity of dosage unit</t>
  </si>
  <si>
    <t>Weight variation/Weight variation</t>
  </si>
  <si>
    <t>Content of uniformity/Content of uniformity</t>
  </si>
  <si>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</si>
  <si>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</si>
  <si>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2566 ข้อ 25</t>
  </si>
  <si>
    <t>ตำรับ MMI tablet ประกอบด้วย MMI, Lactose monohydrate, magnesium stearate, corn starch, talc ถามว่า talc ทำหน้าที่อะไรในตำรับ</t>
  </si>
  <si>
    <t>Diluent</t>
  </si>
  <si>
    <t>Chelating</t>
  </si>
  <si>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</si>
  <si>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2565 ข้อ 25</t>
  </si>
  <si>
    <t>ยาในรูปแบบ Enteric coat ซึ่งจะมีสารก่อฟิล์มที่ใช้ ควรมีสมบัติอย่างไร</t>
  </si>
  <si>
    <t>ละลายน้ำดี แต่ไม่ละลายในสารละลายอินทรีย์</t>
  </si>
  <si>
    <t>ไม่ละลายในสารละลายในกระเพาะอาหาร</t>
  </si>
  <si>
    <t>เพิ่มการละลายและการดูดซึมยา</t>
  </si>
  <si>
    <t>เพิ่มการซึมผ่านของน้ำและความชื้น</t>
  </si>
  <si>
    <t>ถูกย่อยสลายด้วยเอนไซม์ของแบคทีเรียในลำไส้ใหญ่</t>
  </si>
  <si>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</si>
  <si>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2565 ข้อ 89</t>
  </si>
  <si>
    <t>แก้ปัญหายาเม็ดดังรูปด้วยวิธีใด [แนบรูป: ข้อสอบ Product ปี 2565 รหัสรูปภาพ image22]</t>
  </si>
  <si>
    <t>[แนบรูป: ข้อสอบ Product ปี 2565 รหัสรูปภาพ image22]</t>
  </si>
  <si>
    <t>เต็ม anti-adherent</t>
  </si>
  <si>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</si>
  <si>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2565 ข้อ 72</t>
  </si>
  <si>
    <t>ปัจจัยใดมีผลลดการละลายของ Desipramine tablet</t>
  </si>
  <si>
    <t>เพิ่มปริมาณสารลดแรงตึงผิว (Surfactant)  เพิ่มการเปียกของผงยา → ละลายดีขึ้น</t>
  </si>
  <si>
    <t>ทำเป็น Dispersed solid (Solid dispersion)  ช่วยเพิ่มอัตราการละลาย</t>
  </si>
  <si>
    <t>ใช้ Crystalline desipramine</t>
  </si>
  <si>
    <t>Form complex กับ Cyclodextrin  เพิ่มการละลายของยาที่ละลายน้ำได้น้อย</t>
  </si>
  <si>
    <t>ใช้ Micronized desipramine  อนุภาคเล็กลง พื้นที่ผิวเพิ่ม → ละลายเร็วขึ้น</t>
  </si>
  <si>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</si>
  <si>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29</t>
  </si>
  <si>
    <t>ยาแคปซูลมี doxycycline hydrate equivalent อะไรสักอย่างเท่ากับ 100 mg ผู้ป่วยต้องใช้ bid เป็นเวลา 2 สัปดาห์ ถามว่าผู้ป่วยจะได้รับ doxycycline hydrate กี่กรัม</t>
  </si>
  <si>
    <t>1.4 กรัม</t>
  </si>
  <si>
    <t>2.8 กรัม</t>
  </si>
  <si>
    <t>4.2 กรัม</t>
  </si>
  <si>
    <t>5.6 กรัม คำอธิบาย: เนื่องจากใช้ยา 14 วัน × 2 ครั้ง/วัน \= 28 dose × 100 mg/dose \= 2.8 g</t>
  </si>
  <si>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</si>
  <si>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36</t>
  </si>
  <si>
    <t>Eudragit L 55 PEG 6000 ทำหน้าที่เป็นอะไร</t>
  </si>
  <si>
    <t>Stabilizer</t>
  </si>
  <si>
    <t>Plasticizer</t>
  </si>
  <si>
    <t>ไม่ให้เกิดฟอง คำอธิบาย: ตอบ ข. Plasticizer เพราะ Eudragit L 55  เป็น Enteric coating polymer PEG 6000 (Polyethylene glycol 6000\)  ทำหน้าที่เป็น Plasticizer</t>
  </si>
  <si>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</si>
  <si>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37</t>
  </si>
  <si>
    <t>ตำรับ dicloxacillin ประกอบด้วย Magnesium stearate, silica colloidal anhydrous, titanium dioxide... (จำไม่ได้) สารใดใชแทน silica colloidal anhydrous ได</t>
  </si>
  <si>
    <t>Polyvinylpyrrolidone (PVP) เป็น Binder (สารยึดเกาะ)</t>
  </si>
  <si>
    <t>Microcrystalline cellulose (MCC) เป็น Diluent และช่วยในการอัดเม็ด (Dry binder)</t>
  </si>
  <si>
    <t>จำไม่ได้</t>
  </si>
  <si>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</si>
  <si>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</si>
  <si>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39</t>
  </si>
  <si>
    <t>ป้องกันไม่ให้ตอกแล้วติดหน้าสากต้องใส่สารใด</t>
  </si>
  <si>
    <t>Sodium starch glycolate  เป็น Superdisintegrant</t>
  </si>
  <si>
    <t>Talcum ✅ เป็น Glidant</t>
  </si>
  <si>
    <t>PEG 6000  เป็น Plasticizer ในการเคลือบฟิล์ม</t>
  </si>
  <si>
    <t>PVP K30  เป็น Binder</t>
  </si>
  <si>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</si>
  <si>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50</t>
  </si>
  <si>
    <t>เตรียม omeprazole susp. ความแรง 5mg/5ml 100ml ใช omeprazole 20 mg capsule กี่เม็ด</t>
  </si>
  <si>
    <t>25 คำอธิบาย: คำนวนปริมาณยาที่ต้องใช้ 5mg/5ml x 100 ml \= 100 mg 100mg / 20 mg/cap \= 5 cap</t>
  </si>
  <si>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</si>
  <si>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57</t>
  </si>
  <si>
    <t>ทำไมต้องเตรียม omeprazole ในรูปแบบ enteric-coated pellet</t>
  </si>
  <si>
    <t>Basic labile</t>
  </si>
  <si>
    <t>High molecular weight</t>
  </si>
  <si>
    <t>จำไม่ได้ คำอธิบาย: Omeprazole เป็นยาที่ ไม่คงตัวในสภาวะกรด (Acid labile)</t>
  </si>
  <si>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</si>
  <si>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58</t>
  </si>
  <si>
    <t>สารจำเป็นใน Omeprazole pellet</t>
  </si>
  <si>
    <t>film forming</t>
  </si>
  <si>
    <t>disintegrant</t>
  </si>
  <si>
    <t>buffer</t>
  </si>
  <si>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</si>
  <si>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</si>
  <si>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59</t>
  </si>
  <si>
    <t>การทำยาเม็ด Chlorpheniramine tablet เกิดปัญหา binding (เม็ดยาติดหน้า die) ข้อใดไม่ใช่วิธีการแก้ไขปัญหา</t>
  </si>
  <si>
    <t>การเติม lubricant จะช่วยลดแรงเสียดทานระหว่างยากับ Die และลดปัญหาการติดหน้า Die</t>
  </si>
  <si>
    <t>การอบ Granule ให้แห้งจะช่วยลดการเกาะติดกัน จึงลดการติดหน้า Die</t>
  </si>
  <si>
    <t>Silicon dioxide คือสารดูดความชื้น</t>
  </si>
  <si>
    <t>แรงตอกสูงอาจทำให้เกิดปัญหาแกรนูลแตกได้ แต่สามารถช่วยลดโอกาสยาติด Die</t>
  </si>
  <si>
    <t>หากบริเวณที่ตอกมีความชื้นมากเกินไปหรือมีความเหนียว จะทำให้ยาติด die</t>
  </si>
  <si>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</si>
  <si>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61</t>
  </si>
  <si>
    <t>ข้อใดเป็นวิธีแก้ปัญหายา Capping</t>
  </si>
  <si>
    <t>เพิ่มแรงในการตอกเม็ด ❌ อาจทำให้ capping แย่ลง เพราะอากาศถูกอัดไว้มากขึ้น</t>
  </si>
  <si>
    <t>ลดระยะเวลาผสมกับ filler ❌ ไม่ใช่วิธีแก้โดยตรง</t>
  </si>
  <si>
    <t>เพิ่มปริมาณ binder ✅ ถูกต้อง</t>
  </si>
  <si>
    <t>เพิ่มปริมาณ filler ❌ ไม่ช่วยเรื่องแรงยึดเกาะ</t>
  </si>
  <si>
    <t>เพิ่มสารช่วยแตกตัว ❌ อาจทำให้เม็ดเปราะและเกิด capping ได้มากขึ้น</t>
  </si>
  <si>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</si>
  <si>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65</t>
  </si>
  <si>
    <t>ข้อใดไม่ใช่ปัญหาเมื่อสารเคลือบฟิล์มมีความหนืดมากเกิน</t>
  </si>
  <si>
    <t>Picking (ฟิล์มติดหัวพ่นหรือผิวเม็ดยา) ✅ เกิดได้</t>
  </si>
  <si>
    <t>Cracking (ฟิล์มแตกร้าว) ❌ ไม่ใช่ผลจากความหนืดสูง → คำตอบ</t>
  </si>
  <si>
    <t>Twinning  (เม็ดยา 2 เม็ดติดกัน) ✅ เกิดได้</t>
  </si>
  <si>
    <t>Roughness  (ผิวหยาบ) ✅ เกิดได้</t>
  </si>
  <si>
    <t>Sticking (เม็ดยาติดกัน) ✅ เกิดได้</t>
  </si>
  <si>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</si>
  <si>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67</t>
  </si>
  <si>
    <t>ข้อใดไม่ใช่ส่วนประกอบของ soft capsule</t>
  </si>
  <si>
    <t>Glycerin ✅ Plasticizer</t>
  </si>
  <si>
    <t>Propylene glycol ✅ Plasticizer (ใช้ได้ในบางสูตร)</t>
  </si>
  <si>
    <t>Lake color ✅ สีของเปลือกแคปซูล แม้ไม่ละลายน้ำ ก็ใช้เป็นสีของ soft capsule ได้</t>
  </si>
  <si>
    <t>PEG 400 ❌ ไม่ใช่ส่วนประกอบมาตรฐานของ shell (มักใช้เป็นตัวทำละลายหรือ vehicle ของไส้แคปซูลมากกว่า)</t>
  </si>
  <si>
    <t>Water ✅ ส่วนประกอบสำคัญของเปลือก</t>
  </si>
  <si>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</si>
  <si>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70</t>
  </si>
  <si>
    <t>Calcium phosphate dihydrate ทำหน้าที่เป็นอะไรในตำรับ</t>
  </si>
  <si>
    <t>Disintegrator</t>
  </si>
  <si>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</si>
  <si>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</si>
  <si>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92</t>
  </si>
  <si>
    <t>ยาเม็ดพบฟิล์มแตกร้าว ( film cracking ) แก้ไขตำรับอย่างไร</t>
  </si>
  <si>
    <t>เพิ่มสารช่วยยืดหยุ่น plasticizers</t>
  </si>
  <si>
    <t>เพิ่ม disintegrant ❌ ช่วยให้เม็ดแตกตัว ไม่เกี่ยวกับฟิล์มเคลือบ</t>
  </si>
  <si>
    <t>เพิ่มความหนืดของ plasticizers ❌ Plasticizer ไม่ได้แก้โดยเพิ่มความหนืด</t>
  </si>
  <si>
    <t>ลดอุณหภูมิลม ❌ อุณหภูมิการอบแห้งเกี่ยวกับกระบวนการเคลือบ แต่ไม่ใช่วิธีหลัก</t>
  </si>
  <si>
    <t>เพิ่มความเร็วในการหมุนหม้อเคลือบ ❌ อาจเพิ่มแรงกระแทกของเม็ด แต่ไม่แก้ความเปราะของฟิล์ม</t>
  </si>
  <si>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</si>
  <si>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95</t>
  </si>
  <si>
    <t>Soy bean oil มีหน้าที่อะไรในตำรับ</t>
  </si>
  <si>
    <t>Filling</t>
  </si>
  <si>
    <t>Stiffening</t>
  </si>
  <si>
    <t>Film former คำอธิบาย: Soybean oil เป็น น้ำมันตัวพา (vehicle/fill material) ใช้บรรจุและช่วยละลาย/กระจายตัวยาในไส้แคปซูลนิ่ม</t>
  </si>
  <si>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</si>
  <si>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124</t>
  </si>
  <si>
    <t>แพทย์สั่งยาน้ำให้ผู้ป่วยเด็กเตรียม enalapril oral solution จาก enalapril maleate tablet 10 mg ถ้าอยากได้ solution ที่มี enalapril 15 mg/mL ปริมาตร 60 mL ต้องใช้ยาเม็ดกี่เม็ด</t>
  </si>
  <si>
    <t>3 ปี คำอธิบาย: Shelf-life คือเวลาที่ตัวยายังอยู่ในช่วงกำหนด โดยทั่วไปกำหนด 90–110% ของ label amount (เว้นแต่โจทย์กำหนดช่วงอื่น) ดังนั้นจึงตอบ C. 1 ปี</t>
  </si>
  <si>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</si>
  <si>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129</t>
  </si>
  <si>
    <t>จากข้อ 135 สารในข้อใดเป็นสารช่วยแตกตัวสำรับ</t>
  </si>
  <si>
    <t>Starch ✅ เป็น disintegrant</t>
  </si>
  <si>
    <t>Lactose ❌ เป็น diluent/filler</t>
  </si>
  <si>
    <t>Mg stearate ❌ เป็น lubricant</t>
  </si>
  <si>
    <t>Colloidal silicon dioxide (Aerosil) ❌ เป็น glidant/adsorbent</t>
  </si>
  <si>
    <t>SLS ❌ เป็น surfactant/wetting agen</t>
  </si>
  <si>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</si>
  <si>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136</t>
  </si>
  <si>
    <t>ควรใช้ polymer ใดเคลือบ pellet ในรูปแบบ enteric coated</t>
  </si>
  <si>
    <t>Shellac ❌ ใช้ทำ enteric ได้ แต่ปัจจุบันใช้น้อย เพราะความคงตัวไม่ดี</t>
  </si>
  <si>
    <t>Hypromellose (HPMC) ❌ Film former ทั่วไป ไม่ใช่ enteric</t>
  </si>
  <si>
    <t>Polyvinyl alcohol (PVA) ❌ Film former ไม่ใช่ enteric</t>
  </si>
  <si>
    <t>Carboxymethyl cellulose (CMC) ❌ Thickener/Binder ไม่ใช่ enteric</t>
  </si>
  <si>
    <t>Polyvinyl acetate phthalate (PVAP) ✅ Enteric polymer</t>
  </si>
  <si>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</si>
  <si>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153</t>
  </si>
  <si>
    <t>ยาเม็ดดังภาพเกิดปัญหาใด [แนบรูป: ข้อสอบ Product ปี 2564 รหัสรูปภาพ image91]</t>
  </si>
  <si>
    <t>[แนบรูป: ข้อสอบ Product ปี 2564 รหัสรูปภาพ image91]</t>
  </si>
  <si>
    <t>Capping → ฝาบนหรือฝาล่างของเม็ดยาแยกออก</t>
  </si>
  <si>
    <t>Chipping → ขอบเม็ดยาบิ่น/แตก</t>
  </si>
  <si>
    <t>Twinning → ยาเม็ด 2 เม็ดติดกัน</t>
  </si>
  <si>
    <t>Bridging → สารเคลือบปิดทับรอยสลัก/ตัวอักษรบนเม็ด</t>
  </si>
  <si>
    <t>Cracking → เกิดรอยร้าวบนผิวเม็ดยา</t>
  </si>
  <si>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</si>
  <si>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159</t>
  </si>
  <si>
    <t>หัวข้อทดสอบการควบคุมคุณภาพการนำส่งยาชนิดแผ่นแปะผิวหนังตาม USP คือข้อใด</t>
  </si>
  <si>
    <t>Impurities</t>
  </si>
  <si>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</si>
  <si>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</si>
  <si>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2564 ข้อ 164</t>
  </si>
  <si>
    <t>ยาเม็ดพบฟิล์มแตกร้าว (film cracking) แก้ไขตำรับอย่างไร ต้นฉบับ: Day 1 ข้อ 12</t>
  </si>
  <si>
    <t>เพิ่ม disintegrant</t>
  </si>
  <si>
    <t>เพิ่มความหนืดของ plasticizers</t>
  </si>
  <si>
    <t>ลดอุณหภูมิลม</t>
  </si>
  <si>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</si>
  <si>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</si>
  <si>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18</t>
  </si>
  <si>
    <t>ข้อใดระบุใน monograph ของยาเม็ดในเภสัชตำรับ ต้นฉบับ: Day 1 ข้อ 18</t>
  </si>
  <si>
    <t>Friability</t>
  </si>
  <si>
    <t>Residue on ignition</t>
  </si>
  <si>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</si>
  <si>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</si>
  <si>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19</t>
  </si>
  <si>
    <t>ให้ตำรับมา Atorvastatin 20 mg ต้นฉบับ: Day 1 ข้อ 19 Calcium phosphate dihydrate 	100 mg HPC 				4 mg Nymcel 				4 mg Caposil 				2 mg Talcum 				4.5 mg ถามว่า Calcium phosphate dihydrate ทำหน้าที่อะไรในสูตรตำรับ</t>
  </si>
  <si>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</si>
  <si>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</si>
  <si>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20</t>
  </si>
  <si>
    <t>ข้อใดถูกเกี่ยวกับยา venlafaxine XR (75mg capsule) ต้นฉบับ: Day 1 ข้อ 44</t>
  </si>
  <si>
    <t>ตัวยาปลดปล่อยทันทีหลังรับประทาน</t>
  </si>
  <si>
    <t>ตัวยาค่อย ๆ ปลดปล่อยถึงระดับการรักษาและคงที่ระดับไว้ที่ 8-12 ชม.</t>
  </si>
  <si>
    <t>กินยาแล้วห้ามนอนราบ</t>
  </si>
  <si>
    <t>ตัวยาจะออกฤทธิ์เมื่อเคลื่อนที่ไปถึงลำไส้</t>
  </si>
  <si>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</si>
  <si>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</si>
  <si>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22</t>
  </si>
  <si>
    <t>ข้อใดเป็นวิธีแก้ปัญหา Capping ต้นฉบับ: Day 2 ข้อ 19</t>
  </si>
  <si>
    <t>เพิ่มแรงในการตอก</t>
  </si>
  <si>
    <t>ลดระยะเวลาผสมกับ filler</t>
  </si>
  <si>
    <t>เพิ่มปริมาณ binder</t>
  </si>
  <si>
    <t>เพิ่มปริมาณ filler</t>
  </si>
  <si>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</si>
  <si>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</si>
  <si>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27</t>
  </si>
  <si>
    <t>ข้อใดไม่ใช่ปัญหาเมื่อสารเคลือบฟิล์มมีความหนืดมากเกิน ต้นฉบับ: Day 2 ข้อ 25</t>
  </si>
  <si>
    <t>Picking</t>
  </si>
  <si>
    <t>Twinning</t>
  </si>
  <si>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</si>
  <si>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</si>
  <si>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30</t>
  </si>
  <si>
    <t>หัวข้อใดพบได้ใน monograph ต้นฉบับ: Day 2 ข้อ 114</t>
  </si>
  <si>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</si>
  <si>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</si>
  <si>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39</t>
  </si>
  <si>
    <t>สารช่วยแตกกระจายตัวในยาเม็ด ต้นฉบับ: Day 2 ข้อ 115</t>
  </si>
  <si>
    <t>anhydrous lactose</t>
  </si>
  <si>
    <t>HPC</t>
  </si>
  <si>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</si>
  <si>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</si>
  <si>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2563 ข้อ 40</t>
  </si>
  <si>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</si>
  <si>
    <t>PEG 4000</t>
  </si>
  <si>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</si>
  <si>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</si>
  <si>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2562 ข้อ 2</t>
  </si>
  <si>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</si>
  <si>
    <t>1:10</t>
  </si>
  <si>
    <t>1:100</t>
  </si>
  <si>
    <t>10:1</t>
  </si>
  <si>
    <t>100:1</t>
  </si>
  <si>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</si>
  <si>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</si>
  <si>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จากข้อ 83 soy bean oil มีน้าที่อะไรในตำรับ</t>
  </si>
  <si>
    <t>Filler</t>
  </si>
  <si>
    <t>Film former</t>
  </si>
  <si>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</si>
  <si>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17</t>
  </si>
  <si>
    <t>สารใดทำหน้าที่เป็นตัวควบคุมการปลดปล่อยแบบ enteric coated</t>
  </si>
  <si>
    <t>HEC</t>
  </si>
  <si>
    <t>Methacrylic acid</t>
  </si>
  <si>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</si>
  <si>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25</t>
  </si>
  <si>
    <t>จากรูปเมื่อผ่า omeprazole pellet ดังรูปส่วนที่ 1 2 และ 3 น่าจะเป็นส่วนใดตามลำดับ [แนบรูป: ข้อสอบ Product ปี 2561 รหัสรูปภาพ image106]</t>
  </si>
  <si>
    <t>[แนบรูป: ข้อสอบ Product ปี 2561 รหัสรูปภาพ image106]</t>
  </si>
  <si>
    <t>Omeprazole/Methacrylic acid/HPMC</t>
  </si>
  <si>
    <t>HPMC/Omeprazole/Methacrylic acid</t>
  </si>
  <si>
    <t>Methacrylic acid/HPMC/Omeprazole</t>
  </si>
  <si>
    <t>Omeprazole/HPMC/Methacrylic acid</t>
  </si>
  <si>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</si>
  <si>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26</t>
  </si>
  <si>
    <t>Donepezil 5 mg คุณสมบัติไหลดี เกิด hydrolysis in alkaline and neutral solution ได้ degradable products ควรเตรียมยาด้วยวิธีอะไร</t>
  </si>
  <si>
    <t>Wet granulation ใช้ starch paste binder</t>
  </si>
  <si>
    <t>Wet or dry granulation with starch paste binder</t>
  </si>
  <si>
    <t>Direct compression or dry granulation with starch binder</t>
  </si>
  <si>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</si>
  <si>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30</t>
  </si>
  <si>
    <t>ยา B มีคุณสมบัติละลายน้ำไม่ดี หากต้องการเตรียมเป็นยา capsule ควรเลือก diluent แบบใด</t>
  </si>
  <si>
    <t>Calcium sulphate</t>
  </si>
  <si>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</si>
  <si>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34</t>
  </si>
  <si>
    <t>จากข้อ 117 สารในข้อใดเป็นสารช่วยแตกตัวในตำรับ</t>
  </si>
  <si>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</si>
  <si>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36</t>
  </si>
  <si>
    <t>Sodium starch glycolate ทำหน้าที่อะไรในตำรับ</t>
  </si>
  <si>
    <t>Disintegrating</t>
  </si>
  <si>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</si>
  <si>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46</t>
  </si>
  <si>
    <t>PEG 4000 ในสูตรตำรับยาเม็ดเคลือบฟิล์มทำหน้าที่อะไร</t>
  </si>
  <si>
    <t>Opacifiying agent</t>
  </si>
  <si>
    <t>Film coating agent</t>
  </si>
  <si>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</si>
  <si>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49</t>
  </si>
  <si>
    <t>สารใดไม่จำเป็นต้องมีในตำรับ soft capsule</t>
  </si>
  <si>
    <t>Opacifier</t>
  </si>
  <si>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</si>
  <si>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54</t>
  </si>
  <si>
    <t>หากต้องการเตรียม dry powder inhaler และต้องการให้ผงยาไหลได้ดีควรใช้สารช่วยตัวใด</t>
  </si>
  <si>
    <t>PVP K30</t>
  </si>
  <si>
    <t>PEG 6000</t>
  </si>
  <si>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</si>
  <si>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76</t>
  </si>
  <si>
    <t>ยา calcium effervescent tablet เก็บไว้แล้ว เมื่อฉีกซองออกมามีลักษณะเยิ้ม เหนียว เกิดจากการมีส่วนประกอบใดมากเกินไปในตำรับ</t>
  </si>
  <si>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</si>
  <si>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79</t>
  </si>
  <si>
    <t>จากโครงสร้างของ folic acid ในการพัฒนาสูตรตำรับ folic acid 0.5 mg tablet ปัจจัยในข้อใดควรคำนึงถึงน้อยที่สุด</t>
  </si>
  <si>
    <t>ความทนต่อแสง</t>
  </si>
  <si>
    <t>ความคงตัวทางเคมีเรื่อง pH</t>
  </si>
  <si>
    <t>ความสามารถในการตอกอัดของยา</t>
  </si>
  <si>
    <t>ความคงตัวทางเคมี เรื่องการเกิด reduction</t>
  </si>
  <si>
    <t>ความคงตัวทางเคมี เรื่องการเกิด oxidation</t>
  </si>
  <si>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</si>
  <si>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85</t>
  </si>
  <si>
    <t>ส่วนประกอบของ folic acid 0.5 mg/tab ประกอบด้วยสารช่วย colloidal silica, maize starch, Magnesium stearate, spray dry lactose ควรใช้วิธีใดในการผลิต</t>
  </si>
  <si>
    <t>Slug</t>
  </si>
  <si>
    <t>Non-aqueous wet granulation</t>
  </si>
  <si>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</si>
  <si>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86</t>
  </si>
  <si>
    <t>ข้อใดจับชื่อคู่สารกับหน้าที่สารในตำรับผิด</t>
  </si>
  <si>
    <t>Tricitrate เป็น plasticizer</t>
  </si>
  <si>
    <t>Crospovidone เป็น stabilizer</t>
  </si>
  <si>
    <t>Polysorbate เป็น wetting agent</t>
  </si>
  <si>
    <t>Sugar sphere เป็น wetting agent</t>
  </si>
  <si>
    <t>Copolymer enteric coated เป็น copolymer</t>
  </si>
  <si>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</si>
  <si>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92</t>
  </si>
  <si>
    <t>ยา paracetamol มีปริมาณตัวยาสำคัญในหนึ่งเม็ดมาก โดยทั่วไปแล้วควรใช้วิธีใดในการผลิตยาเม็ด</t>
  </si>
  <si>
    <t>Direct granulation</t>
  </si>
  <si>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</si>
  <si>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93</t>
  </si>
  <si>
    <t>ระบบนำส่งยาในภาพเป็นระบบนำส่งยาในรูปแบบใด [แนบรูป: ข้อสอบ Product ปี 2561 รหัสรูปภาพ image113]</t>
  </si>
  <si>
    <t>[แนบรูป: ข้อสอบ Product ปี 2561 รหัสรูปภาพ image113]</t>
  </si>
  <si>
    <t>Dendrimer</t>
  </si>
  <si>
    <t>Nanosphere</t>
  </si>
  <si>
    <t>Nanocapsule</t>
  </si>
  <si>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</si>
  <si>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96</t>
  </si>
  <si>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</si>
  <si>
    <t>[แนบรูป: ข้อสอบ Product ปี 2561 รหัสรูปภาพ image114]</t>
  </si>
  <si>
    <t>EC</t>
  </si>
  <si>
    <t>MC</t>
  </si>
  <si>
    <t>Sodium starch glycolate</t>
  </si>
  <si>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</si>
  <si>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102</t>
  </si>
  <si>
    <t>สารใดเป็นสารช่วยแตกตัว</t>
  </si>
  <si>
    <t>Hypomellose</t>
  </si>
  <si>
    <t>Cellulose silicone dioxide</t>
  </si>
  <si>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</si>
  <si>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108</t>
  </si>
  <si>
    <t>สารใดที่ช่วยให้ยา antihistamine tablet แตกตัวอย่างรวดเร็ว</t>
  </si>
  <si>
    <t>PVP K90</t>
  </si>
  <si>
    <t>Fumed silica</t>
  </si>
  <si>
    <t>Crosspovidone</t>
  </si>
  <si>
    <t>Sodium monohydrate</t>
  </si>
  <si>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</si>
  <si>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110</t>
  </si>
  <si>
    <t>สารใดเป็นสารช่วยไหลที่เหมาะสมของยา antihistamine tablet</t>
  </si>
  <si>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</si>
  <si>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2561 ข้อ 111</t>
  </si>
  <si>
    <t>เมื่อทำตำรับ ibuprofen film coat tablets (450 mg) พบว่าเกิด spotting เกิดจากสาเหตุใด</t>
  </si>
  <si>
    <t>มีการดูดอากาศเข้ามาในฟิล์มเคลือบ</t>
  </si>
  <si>
    <t>........................</t>
  </si>
  <si>
    <t>เกิดการเคลื่อนที่รวมกันของ plasticizer, สีและสารเคลือบอื่นๆ</t>
  </si>
  <si>
    <t>แรงของโพลิเมอร์ที่เคลือบผิวมีมากกว่า แรงที่ผิวยาเม็ด</t>
  </si>
  <si>
    <t>แรงระหว่างโพลิเมอร์มากกว่าแรงระหว่างโพลิเมอร์กับผิวยาเม็ด</t>
  </si>
  <si>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</si>
  <si>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2559 ข้อ 23</t>
  </si>
  <si>
    <t>|  | Lot 1 | Lot 2 | | :---: | :---: | :---: | | น้ำหนักยาเม็ด | 400 | 400 | | Assay | 390 | 385 | | %Labeled amount 97-101 |  |  | ข้อใดต่อไปนี้ถูกต้อง</t>
  </si>
  <si>
    <t>Lot 1 ผ่านเกณฑ์ Lot 2 ไม่ผ่าน</t>
  </si>
  <si>
    <t>Lot 1 ไม่ผ่านเกณฑ์ Lot 2 ผ่าน</t>
  </si>
  <si>
    <t>Lot 1 ผ่านเกณฑ์ Lot 2 ผ่าน</t>
  </si>
  <si>
    <t>Lot 1 ไม่ผ่านเกณฑ์ Lot 2 ผ่าน ข้อสอบ PLE\_CC1\_2559 (อีกไฟล์ แต่ข้อสอบคล้ายชุด 1\) ข้อสอบ</t>
  </si>
  <si>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</si>
  <si>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2559 ข้อ 25</t>
  </si>
  <si>
    <t>|  | Lot 1 | Lot 2 | | :---: | :---: | :---: | | น้ำหนักยาเม็ด | 400 | 400 | | Assay | 390 | 385 | | %Labeled amount 97-101 |  |  | จากข้อมูลดังต่อไปนี ข้อใดถูกต้อง</t>
  </si>
  <si>
    <t>[แนบรูป: ข้อสอบ Product ปี 2559 รหัสรูปภาพ image118]</t>
  </si>
  <si>
    <t>Lot 1 ผ่านเกณฑ์ Lot 2 ผ่านเกณฑ์</t>
  </si>
  <si>
    <t>Lot 1 ผ่านเกณฑ์ Lot 2 ไม่ผ่านเกณฑ์</t>
  </si>
  <si>
    <t>Lot 1 ไม่ผ่านเกณฑ์ Lot 2 ผ่านเกณฑ์</t>
  </si>
  <si>
    <t>Lot 1 ไม่ผ่านเกณฑ์ Lot 2 ไม่ผ่านเกณฑ์</t>
  </si>
  <si>
    <t>ต้องอาศัยข้อมูลเพิ่มเติม ข้อสอบ PLE\_CC1\_2559 Set 2 ข้อสอบ [แนบรูป: ข้อสอบ Product ปี 2559 รหัสรูปภาพ image118]</t>
  </si>
  <si>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</si>
  <si>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ยา GPO vir-S 30 มีปัญหาน้ำหนักในแต่ละเม็ดยาไม่เท่ากัน จะแก้ไขปัญหาโดยเพิ่มการไหลของตัวยา ต้องเติมสารช่วยตัวใด</t>
  </si>
  <si>
    <t>lactose</t>
  </si>
  <si>
    <t>silicon dioxide</t>
  </si>
  <si>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</si>
  <si>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จงเรียงลำดับขั้นตอนของยาเม็ด</t>
  </si>
  <si>
    <t>sealing coat\&gt;subcoating\&gt;grossing\&gt;color coating\&gt;polishing</t>
  </si>
  <si>
    <t>subcoating\&gt;sealing coat \&gt;grossing\&gt;color coating\&gt;polishing</t>
  </si>
  <si>
    <t>sealing coat\&gt;subcoating\&gt;color coating\&gt;grossing\&gt;polishing</t>
  </si>
  <si>
    <t>sealing coat\&gt;subcoating\&gt;color coating\&gt; polishing\&gt; grossing</t>
  </si>
  <si>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</si>
  <si>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จากสูตรตำรับต่อไปนี้  Rx.  Active Ingredient AAA: 300 mg  Lactose: 500 mg  Corn starch: 10%  หากตำรับยาเม็ดที่ตอกได้มีปัญหาการแตกตัวไม่ดี (Poor disintegration) ควรแก้ไขอย่างไร?</t>
  </si>
  <si>
    <t>เปลี่ยน Lactose เป็น Sodium starch glycolate</t>
  </si>
  <si>
    <t>เปลี่ยน Lactose เป็น Croscarmellose sodium</t>
  </si>
  <si>
    <t>เปลี่ยน Corn starch เป็น Sodium starch glycolate</t>
  </si>
  <si>
    <t>เปลี่ยน Corn starch เป็น Croscarmellose sodium</t>
  </si>
  <si>
    <t>เปลี่ยน Corn starch เป็น PVP</t>
  </si>
  <si>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</si>
  <si>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1</t>
  </si>
  <si>
    <t>ยาเม็ดเมื่อเคลือบฟิล์มแล้วพบปัญหาฟิล์มฉีกขาดหรือลอกออกจากกัน (Peeling) จะแก้ไขปัญหานี้อย่างไร?</t>
  </si>
  <si>
    <t>Spray น้ำยาเคลือบให้ช้าลง</t>
  </si>
  <si>
    <t>ลดปริมาณ Polymer ของตำรับ</t>
  </si>
  <si>
    <t>เติม Talcum ไปในตำรับเคลือบฟิล์ม</t>
  </si>
  <si>
    <t>เติม PEG ไปในตำรับเคลือบฟิล์ม</t>
  </si>
  <si>
    <t>ลดระยะห่างระหว่างหัวสเปรย์กับเม็ดยา</t>
  </si>
  <si>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</si>
  <si>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5</t>
  </si>
  <si>
    <t>ยาเม็ด Theophylline SR (Sustained Release) มีส่วนประกอบดังนี้: Theophylline, Lactose monohydrate, HPMC, PVP K30, Magnesium stearate, Isopropyl alcohol สารใดทำหน้าที่เป็นสารก่อเมทริกซ์ (Matrix-forming agent)?</t>
  </si>
  <si>
    <t>Lactose monohydrate</t>
  </si>
  <si>
    <t>Isopropyl alcohol</t>
  </si>
  <si>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</si>
  <si>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6</t>
  </si>
  <si>
    <t>ข้อใดกล่าวได้ถูกต้องเกี่ยวกับเครื่องมือพ่นยาสูดพ่นชนิด Metered-Dose Inhaler (MDI)?</t>
  </si>
  <si>
    <t>ไม่จำเป็นต้องใช้ Propellant (สารขับดัน)</t>
  </si>
  <si>
    <t>กำจัดขยะกระป๋องยาโดยการเผาทำลาย</t>
  </si>
  <si>
    <t>การสูดพ่นไม่ต้องสัมพันธ์กับการกดกระบอกยา (Hand-breath coordination)</t>
  </si>
  <si>
    <t>มี Metered valve ในการควบคุมปริมาตรยาที่พ่นแต่ละครั้งให้คงที่</t>
  </si>
  <si>
    <t>ใช้ Lactose เป็นสารแต่งกลิ่นหรือ Carrier</t>
  </si>
  <si>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</si>
  <si>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8</t>
  </si>
  <si>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</si>
  <si>
    <t>เพิ่มแรงตอกยารวดเดียว (Increase compression force)</t>
  </si>
  <si>
    <t>ลดอัตราเร็วหรือความเร็วในกระบวนการตอกยา (Decrease compression speed)</t>
  </si>
  <si>
    <t>เพิ่มสัดส่วนปริมาณสารยึดเกาะ (Binder) ในแกรนูล</t>
  </si>
  <si>
    <t>เพิ่มความชื้นในผงยาก่อนนำไปตอก (Increase moisture content)</t>
  </si>
  <si>
    <t>ลดปริมาณการใช้สารหล่อลื่น Magnesium stearate ลง</t>
  </si>
  <si>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</si>
  <si>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18</t>
  </si>
  <si>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</si>
  <si>
    <t>สุ่มตรวจในขั้น S1 จำนวน 6 เม็ด ค่าเฉลี่ยของการละลายเท่ากับ 80%</t>
  </si>
  <si>
    <t>สุ่มตรวจเพิ่มเติมในขั้น S2 รวมเป็น 12 เม็ด มีเม็ดหนึ่งตรวจพบการละลายเท่ากับ 60%</t>
  </si>
  <si>
    <t>สุ่มตรวจเพิ่มเติมในขั้น S2 รวมเป็น 12 เม็ด ได้ค่าเฉลี่ยเท่ากับ 82% และยาทุกเม็ดละลายได้เกิน 70%</t>
  </si>
  <si>
    <t>สุ่มตรวจเพิ่มเติมในขั้น S2 รวมเป็น 12 เม็ด ได้ค่าเฉลี่ยเท่ากับ 79% และยาทุกเม็ดละลายได้เกิน 65%</t>
  </si>
  <si>
    <t>สุ่มตรวจในขั้น S1 จำนวน 6 เม็ด มีหนึ่งเม็ดตรวจพบการละลายเท่ากับ 80%</t>
  </si>
  <si>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</si>
  <si>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23</t>
  </si>
  <si>
    <t>ข้อใดกล่าวถูกต้องเกี่ยวกับระบบอุปกรณ์นำส่งยาสูดพ่นชนิดผงแห้ง (Dry Powder Inhaler: DPI)?</t>
  </si>
  <si>
    <t>ต้องอาศัยสารขับดันประเภท HFA หรือ CFC เพื่อช่วยพ่นผงยาออกสู่ภายนอก</t>
  </si>
  <si>
    <t>ยาแห้ง DPI จะใช้ผงแลคโตสขนาดเม็ดละเอียด (Fine lactose) เป็นตัวพายาเข้าสู่ปอด</t>
  </si>
  <si>
    <t>ประสิทธิภาพการกระจายตัวของผงยาเข้าสู่ปอดส่วนลึก ขึ้นกับความแรงของแรงสูดหายใจเข้า (Inspiratory flow rate) ของผู้ป่วย</t>
  </si>
  <si>
    <t>ตัวนำทางอุปกรณ์ไม่มีผลกระทบต่อสัดส่วนของการตกตะกอนในทางเดินหายใจ</t>
  </si>
  <si>
    <t>ปริมาตรลมหายใจออกของผู้ป่วยเป็นหัวใจหลักในการผลักดันระบบนำส่งยา</t>
  </si>
  <si>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</si>
  <si>
    <t>ข้อสอบจริง Product ปี 2558 ข้อ 35</t>
  </si>
  <si>
    <t>ตามเภสัชตำรับ (Pharmacopoeia Monograph) การหาปริมาณสารสำคัญ (Assay) ของยาเม็ดแอสไพริน (Aspirin tablets) ใช้วิธีการไทเทรตแบบใด</t>
  </si>
  <si>
    <t>Residual (Back) acid-base titration</t>
  </si>
  <si>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</si>
  <si>
    <t>Medicinal Chemistry &amp; Quality Analysis</t>
  </si>
  <si>
    <t>PLE-CC1 ปี 2566 Day 1 ข้อ 23</t>
  </si>
  <si>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</si>
  <si>
    <t>Enteric polymer เช่น Cellulose Acetate Phthalate (CAP) หรือ Methacrylic acid copolymer (Eudragit L)</t>
  </si>
  <si>
    <t>Povidone (PVP K30)</t>
  </si>
  <si>
    <t>Hydroxypropyl Methylcellulose (HPMC E5) เคลือบแบบ Film-coat ธรรมดา</t>
  </si>
  <si>
    <t>Polyethylene Glycol (PEG 4000)</t>
  </si>
  <si>
    <t>Ethyl cellulose เคลือบแบบ Sustained release</t>
  </si>
  <si>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</si>
  <si>
    <t>Pharmaceutics &amp; Formulation Science</t>
  </si>
  <si>
    <t>PLE_CC1_2565_Day1_Key ข้อ 29</t>
  </si>
  <si>
    <t>เภสัชกรโรงงานต้องการผลิตตำหรับ milk of magnesia เครื่องมือใดต่อไปนี้เหมาะสมที่สุด</t>
  </si>
  <si>
    <t>Tubine mixer</t>
  </si>
  <si>
    <t>Agitator mixer</t>
  </si>
  <si>
    <t>Fluidized bed mixers</t>
  </si>
  <si>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</si>
  <si>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114 (Pharmtutor_2024_Set2.md)</t>
  </si>
  <si>
    <t>กำหนดค่า Q=80% เม็ดยา warfarin 5 mg นำมา 6 เม็ด N1=4.5, N2=4.5, N3=5.25, N4=4.75, N5=5.25, N6=4.0 จะสรุปได้ว่าอย่างไร</t>
  </si>
  <si>
    <t>ผ่าน S1</t>
  </si>
  <si>
    <t>ไม่ผ่าน S1 เนื่องจากมียา 1 เม็ดที่อยู่ต ่ากว่า Q+5</t>
  </si>
  <si>
    <t>ไม่ผ่าน S1 เนื่องจากมียา 4 เม็ดที่อยู่ต ่ากว่า Q+5</t>
  </si>
  <si>
    <t>ไม่ผ่าน S1 ต้องเพิ่มยาอีก 6 เม็ด</t>
  </si>
  <si>
    <t>............................</t>
  </si>
  <si>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</si>
  <si>
    <t>ข้อ 1 (PLE_CC1_2555 Day 1.md)</t>
  </si>
  <si>
    <t>แพทย์สั่งยา : Ferrous sulphate syrup (25mg/5mL) PO BID PC (ใช้ตอบข้อ 52-54)
ส่วนประกอบใน Multivitamin syrup ในข้อใด มีอันตรกิริยากับยา Ferrous sulphate syrup</t>
  </si>
  <si>
    <t>Lysine</t>
  </si>
  <si>
    <t>Nicotinamide</t>
  </si>
  <si>
    <t>D-panthenol</t>
  </si>
  <si>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</si>
  <si>
    <t>Solutions, Syrups &amp; Elixirs</t>
  </si>
  <si>
    <t>Mock PLE-CC 1 ข้อ 53</t>
  </si>
  <si>
    <t>แพทย์สั่งยา : Ferrous sulphate syrup (25mg/5mL) PO BID PC (ใช้ตอบข้อ 52-54)
ข้อใดคืออาการไม่พึงประสงค์จากการรับประทานธาตุเหล็ก</t>
  </si>
  <si>
    <t>ปัสสาวะสีดำ</t>
  </si>
  <si>
    <t>เป็นแผลในกระเพาะปัสสาวะ</t>
  </si>
  <si>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</si>
  <si>
    <t>Mock PLE-CC 1 ข้อ 54</t>
  </si>
  <si>
    <t>แพทย์สั่งยา : Ferrous sulphate syrup (25mg/5mL) PO BID PC (ใช้ตอบข้อ 52-54)
กลไกการออกฤทธิ์ของ Ferrous sulphate ในการรักษาภาวะโลหิตจางคือข้อใด</t>
  </si>
  <si>
    <t>เพิ่มการสร้าง erythropoietin จากไต</t>
  </si>
  <si>
    <t>เพิ่มการสร้าง instrinsic factor จากกระเพาะอาหาร</t>
  </si>
  <si>
    <t>จัดหาเหล็กในรูปของ ferrous สำหรับการสร้าง heme และ hemoglobin</t>
  </si>
  <si>
    <t>ยับยั้งการทำลายเม็ดเลือดจากม้าม</t>
  </si>
  <si>
    <t>เพิ่มการสร้าง transferrin โดยตรง</t>
  </si>
  <si>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</si>
  <si>
    <t>Mock PLE-CC 1 ข้อ 55</t>
  </si>
  <si>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</si>
  <si>
    <t>Ferrous Sulfate syrup PO</t>
  </si>
  <si>
    <t>Hydroxocobalamin PO</t>
  </si>
  <si>
    <t>Folic acid เพียงอย่างเดียว</t>
  </si>
  <si>
    <t>Ascorbic acid PO</t>
  </si>
  <si>
    <t>deferasirox PO</t>
  </si>
  <si>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</si>
  <si>
    <t>Mock PLE-CC 1 ข้อ 56</t>
  </si>
  <si>
    <t>Acyclovir cream 5% w/w 1 g จะมีกี่ mg/g และถ้าต้องการผลิตภัณฑ์ยา 25 mg ต้องใช้กี่กรัม</t>
  </si>
  <si>
    <t>0.5 mg/g, 0.0125 g</t>
  </si>
  <si>
    <t>5 mg/g, 0.0125 g</t>
  </si>
  <si>
    <t>5 mg/g, 0.125 g</t>
  </si>
  <si>
    <t>50 mg/g, 0.125 g</t>
  </si>
  <si>
    <t>50 mg/g, 0.5 g</t>
  </si>
  <si>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</si>
  <si>
    <t>Creams &amp; Ointments</t>
  </si>
  <si>
    <t>Mock PLE-CC 1 ข้อ 124</t>
  </si>
  <si>
    <t>ยาครีม acyclovir หัวข้อไหน ไม่ต้องทดสอบในการควบคุมคุณภาพตามเภสัชตำรับ</t>
  </si>
  <si>
    <t>Impurity &amp; Microbial limit</t>
  </si>
  <si>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</si>
  <si>
    <t>Mock PLE-CC 1 ข้อ 128</t>
  </si>
  <si>
    <t>ยาครีม acyclovir เกิดปัญหาเนื้อครีมเหลวเกินไป ควรเติมสารในข้อใดเพื่อเพิ่มความคงตัวและความข้นหนืด (Stiffening agent)</t>
  </si>
  <si>
    <t>Cetostearyl alcohol</t>
  </si>
  <si>
    <t>White petrolatum</t>
  </si>
  <si>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</si>
  <si>
    <t>Mock PLE-CC 1 ข้อ 129</t>
  </si>
  <si>
    <t>Acyclovir มี MW 225 ค่าความสามารถในการละลายน้ำ 2.5 mg/mL ในการเตรียมตำรับ Acyclovir cream 5% w/w ควรมีขั้นตอนการผสมอย่างไรจึงเหมาะสมที่สุด</t>
  </si>
  <si>
    <t>ละลายในน้ำแล้วค่อยนำไปผสมเตรียมครีม</t>
  </si>
  <si>
    <t>ละลายใน phase น้ำแล้วค่อยไปผสมกับพื้นครีม</t>
  </si>
  <si>
    <t>กระจายกับ mineral oil แล้วค่อยไปผสมพื้นครีม</t>
  </si>
  <si>
    <t>กระจายกับ propylene glycol แล้วผสมกับพื้นครีม</t>
  </si>
  <si>
    <t>กระจายผงยากับพื้นครีมโดยตรง</t>
  </si>
  <si>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</si>
  <si>
    <t>Mock PLE-CC 1 ข้อ 132</t>
  </si>
  <si>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</si>
  <si>
    <t>40 g</t>
  </si>
  <si>
    <t>400 g</t>
  </si>
  <si>
    <t>100 g</t>
  </si>
  <si>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</si>
  <si>
    <t>Suspensions &amp; Gels</t>
  </si>
  <si>
    <t>ข้อสอบเก่า 2567 ข้อ 12</t>
  </si>
  <si>
    <t>Glycerin suppository (ตำรับที่ใช้ stearic acid) เกิดปฏิกิริยาระหว่าง Sodium carbonate และ Stearic acid ข้อใดต่อไปนี้กล่าวถูกต้อง</t>
  </si>
  <si>
    <t>Stearic acid ทำให้ตำรับมีความแข็ง</t>
  </si>
  <si>
    <t>Sodium carbonate ทำให้ตำรับมีความแข็ง</t>
  </si>
  <si>
    <t>Stearic acid สามารถละลายใน rectal fluid ทำให้ปลดปล่อยตัวยาสำคัญได้</t>
  </si>
  <si>
    <t>Sodium stearate เป็น Soap ทำให้ตำรับมีความคงตัว</t>
  </si>
  <si>
    <t>ตำรับนี้เหมือน Gelatinized glycerin base</t>
  </si>
  <si>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</si>
  <si>
    <t>Suppositories</t>
  </si>
  <si>
    <t>ข้อสอบเก่า 2567 ข้อ 13</t>
  </si>
  <si>
    <t>ตำรับ hard gelatin capsule ไม่จำเป็นต้องทำการทดสอบคุณภาพตามเภสัชตำรับในหัวข้อใด</t>
  </si>
  <si>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</si>
  <si>
    <t>Capsules &amp; Quality Control</t>
  </si>
  <si>
    <t>ข้อสอบเก่า 2567 ข้อ 14</t>
  </si>
  <si>
    <t>ตำรับยาครีมที่มี Sodium Lauryl Sulfate (SLS) เป็นสารช่วยก่ออิมัลชัน จัดเป็นครีมประเภทใด</t>
  </si>
  <si>
    <t>Vanishing cream</t>
  </si>
  <si>
    <t>Cold cream</t>
  </si>
  <si>
    <t>Anionic cream</t>
  </si>
  <si>
    <t>Cationic cream</t>
  </si>
  <si>
    <t>Nonionic cream</t>
  </si>
  <si>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</si>
  <si>
    <t>Creams &amp; Emulsions</t>
  </si>
  <si>
    <t>ข้อสอบเก่า 2566 Day 2 ข้อ 81</t>
  </si>
  <si>
    <t>Topical capsaicin</t>
  </si>
  <si>
    <t>Liquid &amp; Semisolid</t>
  </si>
  <si>
    <t>Simple Syrup USP (85% w/v Sucrose)</t>
  </si>
  <si>
    <t>Elixir with 10-20% Alcohol cosolvent</t>
  </si>
  <si>
    <t>Flocculated Oral Suspension with Xanthan Gum</t>
  </si>
  <si>
    <t>Deflocculated Suspension formulation</t>
  </si>
  <si>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</si>
  <si>
    <t>Fusidic acid cream</t>
  </si>
  <si>
    <t>O/W Emulsion stabilized by Polysorbate 80 / Span 80</t>
  </si>
  <si>
    <t>W/O Emulsion with Sorbitan monooleate</t>
  </si>
  <si>
    <t>Carbopol 940 hydrogel neutralized with Triethanolamine</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</si>
  <si>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</si>
  <si>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Bactricin ointment</t>
  </si>
  <si>
    <t>Oleaginous Ointment base (White Petrolatum)</t>
  </si>
  <si>
    <t>Absorption Ointment base (Lanolin USP)</t>
  </si>
  <si>
    <t>Fatty Suppository base (Hard Fat / Witepsol)</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</si>
  <si>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</si>
  <si>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Chloramphenicol ointment</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</si>
  <si>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</si>
  <si>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</si>
  <si>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</si>
  <si>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สามาถเตรียมได้ด้วยวิธีemulsion method</t>
  </si>
  <si>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</si>
  <si>
    <t>Emulsions</t>
  </si>
  <si>
    <t>O/W Emulsion base</t>
  </si>
  <si>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</si>
  <si>
    <t>ให้สูตรตำรับที่มีSLS มาถามว่าเป็นครีมประเภทไหน ตัวเลือก</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</si>
  <si>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</si>
  <si>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PLE-CC1 ปี 2566 Day 2 ข้อ 81</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</si>
  <si>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</si>
  <si>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หากต้องการตั้งตำรับยาน้ำแขวนตะกอน Methimazole สารในข้อใดจัดเป็นสารช่วยเปียก (Wetting agent) ที่เหมาะสมที่สุดสำหรับตำรับยารับประทาน</t>
  </si>
  <si>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</si>
  <si>
    <t>Suspensions &amp; Wetting Agents</t>
  </si>
  <si>
    <t>ข้อสอบเก่า 2565 Day 1 ข้อ 26</t>
  </si>
  <si>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</si>
  <si>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</si>
  <si>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</si>
  <si>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</si>
  <si>
    <t>Suspensions</t>
  </si>
  <si>
    <t>PLE_CC1_2565_Day1_Key ข้อ 84</t>
  </si>
  <si>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</si>
  <si>
    <t>เปMน reservoir device</t>
  </si>
  <si>
    <t>ปลดปล;อยยาไดนานขึ้น</t>
  </si>
  <si>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</si>
  <si>
    <t>PLE_CC1_2565_Day1_Key ข้อ 91</t>
  </si>
  <si>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</si>
  <si>
    <t>UV-Visible spectrophotometry</t>
  </si>
  <si>
    <t>High Performance Thin Layer Chromatography (HPTLC)</t>
  </si>
  <si>
    <t>Infrared spectroscopy (IR)</t>
  </si>
  <si>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</si>
  <si>
    <t>Semisolid QC &amp; Chromatography</t>
  </si>
  <si>
    <t>ข้อสอบเก่า 2565 Day 2 ข้อ 38</t>
  </si>
  <si>
    <t>จากสูตรตำรับการเตรียม Rifampicin suspension สารกลุ่มใดในตำรับทำหน้าที่เป็นตัวทำละลายร่วม (Co-solvents)</t>
  </si>
  <si>
    <t>Ascorbic acid, EDTA, Saccharin</t>
  </si>
  <si>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</si>
  <si>
    <t>Suspensions &amp; Co-solvents</t>
  </si>
  <si>
    <t>ข้อสอบเก่า 2565 Day 2 ข้อ 54</t>
  </si>
  <si>
    <t>จากสูตรตำรับ Aluminum hydroxide paste (ประกอบด้วย Aluminum hydroxide, Glycerol, Sorbitol, Methylparaben, Propylparaben, Purified water) ข้อใดต่อไปนี้กล่าวถูกต้อง</t>
  </si>
  <si>
    <t>ใช้ Sorbitol กับ Glycerol เพื่อเป็นสารเพิ่มความหนืดหลักของตำรับ</t>
  </si>
  <si>
    <t>ตำรับนี้ไม่สามารถแต่งกลิ่นรส (Flavoring agent) ได้เนื่องจากตัวยาเสื่อมสลาย</t>
  </si>
  <si>
    <t>Methyl cellulose เป็นสารให้ความหนืดชนิดไม่มีประจุ (Nonionic polymer) ที่เข้ากันได้ดีกับตัวยา</t>
  </si>
  <si>
    <t>Methylparaben และ Propylparaben ทำหน้าที่เป็น Antioxidants ป้องกันการเกิด oxidation</t>
  </si>
  <si>
    <t>Glycerol และ Sorbitol ทำหน้าที่เป็น Emulsifying agent ประจุลบ</t>
  </si>
  <si>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</si>
  <si>
    <t>Suspensions &amp; Excipients</t>
  </si>
  <si>
    <t>ข้อสอบเก่า 2565 Day 2 ข้อ 79</t>
  </si>
  <si>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</si>
  <si>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</si>
  <si>
    <t>PLE_CC1_2564_All_Key ข้อ 31</t>
  </si>
  <si>
    <t>ยาที่แสดงชื่อหรือเครื่องหมายของผู้ผลิต หรือ ที่ตั้งสถานที่ยาที่ไม่ใช่ความจริง เช่น ครีมกวนหลังบ้านแต่เอา logo มหิดลมาปิด</t>
  </si>
  <si>
    <t>PLE_CC1_2564_All_Key ข้อ 3</t>
  </si>
  <si>
    <t>ถ้าลูกเกิดมาแล้วแม่มี VL 20 ลูกจะต้องได้รับ zidovudine syrup ไปอีกเท่าไหร่? (หมายถึงเวลารึป่ะ)</t>
  </si>
  <si>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</si>
  <si>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77</t>
  </si>
  <si>
    <t>ตำรับประกอบด้วย ตัวยาสำคัญ, MCC, Lactose, disintegrant สักตัว, Mg stearate แล้ว Shell ประกอบด้วย gelatin, Titanium dioxide, iron oxide ถามว่าเป็นรูปแบบไหน</t>
  </si>
  <si>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</si>
  <si>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PLE_CC1_2564_All_Key ข้อ 131</t>
  </si>
  <si>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</si>
  <si>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</si>
  <si>
    <t>ข้อใดถูกเกี่ยวกับคำแนะนำการใฬ้ยาทาครีม BS ที่มี steroid เป็นอษค์ประกอบ</t>
  </si>
  <si>
    <t>ใฬ้ปริมาณน้อย</t>
  </si>
  <si>
    <t>ใฬ้ติดต่อกันไม่เกิน 2 วัน</t>
  </si>
  <si>
    <t>ทาแล้วใฬ้พลาสเตอร์ปิด ษ. ใฬ้ได้กับแผล ส. ทาทุก 6 ฬม. RA</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</si>
  <si>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</si>
  <si>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PLE_CC1_2563_Q ข้อ 42</t>
  </si>
  <si>
    <t>ข้อใดถูกเกี่ยวกับคำแนะนำการใฬ้ยาทาครีม BA ที่มี steroid (ที่ตำรับประกอบด้วย Steroids + ketolytic agent) เป็นอษค์ประกอบ</t>
  </si>
  <si>
    <t>ทาแล้วใฬ้พลาสเตอร์ปิด ษ. ใฬ้ได้กับแผล ส. ทาทุก 6 ฬม. GERD</t>
  </si>
  <si>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</si>
  <si>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PLE_CC1_2563_Q ข้อ 83</t>
  </si>
  <si>
    <t>ข้อใดไม่ถูกต้องเกี่ยวกับการใช้ capsaicin gel wei.2 X ↑ziseeideigered</t>
  </si>
  <si>
    <t>ทายานี้วันละ 3-4 ครั้งต่อวัน</t>
  </si>
  <si>
    <t>ใช้ยานี้สม่ำเสมอจึงจะเห็นประสิทธิผล</t>
  </si>
  <si>
    <t>ถูนวดบริเวณที่ปวดหลังทายานี้อย่างน้อย 5 นาที</t>
  </si>
  <si>
    <t>หลังทายานี้ต้องล้างมือด้วยน้ำสะอาดและสบู่ทุกครั้ง</t>
  </si>
  <si>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</si>
  <si>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</si>
  <si>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ข้อใดคือลักษณะยาที่ซึมผ่านผิวหนังได้ดี - TEAziph einlei carbopol Wi - Coins( X- log p 7-3 winditwere Dandeisin : didd . n . Ninetee referee nien medici</t>
  </si>
  <si>
    <t>Mw&gt; 500 dalton</t>
  </si>
  <si>
    <t>Log P &gt; 10</t>
  </si>
  <si>
    <t>อยู่ในรูป unionized เมื่ออยู่ที่ผิวหนัง</t>
  </si>
  <si>
    <t>ควรให้ค่า F &lt;1</t>
  </si>
  <si>
    <t>เป็น crystalline</t>
  </si>
  <si>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</si>
  <si>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 (PLE_CC1_2562_Key.md)</t>
  </si>
  <si>
    <t>ตำรับ metronidazole gel ประกอบด้วย gelling agent, methyl paraben, propyl paraben, propylene glycol, X astw alc . - PEG ~ ethanol, purified water หน้าที่สาร propylene glycol คือ</t>
  </si>
  <si>
    <t>ปรับ pH</t>
  </si>
  <si>
    <t>ป้องกันการเสียน้ำในตำรับ</t>
  </si>
  <si>
    <t>ทำให้ผิวหนังมันและชุ่มชื้น</t>
  </si>
  <si>
    <t>ป้องกันการออกซิเดชันตัวยา</t>
  </si>
  <si>
    <t>เป็นสารกันเสีย ป้องกันการก่อเชื้อ</t>
  </si>
  <si>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</si>
  <si>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101 (PLE_CC1_2562_Key.md)</t>
  </si>
  <si>
    <t>สารใดไม!ใชเปEน stiffening agent ของสูตรตำรับยาครีม</t>
  </si>
  <si>
    <t>Beeswax</t>
  </si>
  <si>
    <t>PEG-4000</t>
  </si>
  <si>
    <t>Paraffin wax</t>
  </si>
  <si>
    <t>Isopropyl myristate</t>
  </si>
  <si>
    <t>Cytostearyl alcohol Awaiting</t>
  </si>
  <si>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</si>
  <si>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29 (PLE_CC1_2561_Key.md)</t>
  </si>
  <si>
    <t>จากใบ COA benzoyl peroxide gel นอกจากหัวข้อ identification, pH, assay, microbial limit test ควรทดสอบ หัวข้ออะไรเพิ่มเติม</t>
  </si>
  <si>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</si>
  <si>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91 (PLE_CC1_2561_Key.md)</t>
  </si>
  <si>
    <t>เภสัชกรได(เตรียมตำรับยาน้ำที่มีส.วนประกอบดังนี้ amlodipine maleate, polysorbate 80 และ vehicle qs to 60 ml ยามีการ สลายตัวแบบใด t</t>
  </si>
  <si>
    <t>Mix type zero + second order</t>
  </si>
  <si>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</si>
  <si>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100 (PLE_CC1_2561_Key.md)</t>
  </si>
  <si>
    <t>ยาน้ำลดกรดจัดเป5นยาประเภทใด mmmm</t>
  </si>
  <si>
    <t>ยาชุด</t>
  </si>
  <si>
    <t>ยาหมดอายุ</t>
  </si>
  <si>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</si>
  <si>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109 (PLE_CC1_2561_Key.md)</t>
  </si>
  <si>
    <t>จากบัญชียาหลักแห่งชาติ ยาสมุนไพรใดสามารถใช้แทน clotrimazole cream ได้</t>
  </si>
  <si>
    <t>ยาครีมบัวบก</t>
  </si>
  <si>
    <t>ยาทิงเจอร์ทองพันชั่ง</t>
  </si>
  <si>
    <t>ยาโลชั่นไพล</t>
  </si>
  <si>
    <t>ยาเปลือกมังคุด</t>
  </si>
  <si>
    <t>ยาขี ผึ งเสลดพังพอน</t>
  </si>
  <si>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</si>
  <si>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ใช้สารใดเพิ่มความหนืดของต้ารับครีม</t>
  </si>
  <si>
    <t>Lanolin</t>
  </si>
  <si>
    <t>Cetyl alcohol</t>
  </si>
  <si>
    <t>Glycerine</t>
  </si>
  <si>
    <t>isopropyl mysterate</t>
  </si>
  <si>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</si>
  <si>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ยาทา Piroxicam cream จะต้องท้า Specific test ใด</t>
  </si>
  <si>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</si>
  <si>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</si>
  <si>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 (PLE_CC1_2560 22 April Set 1.md)</t>
  </si>
  <si>
    <t>คิดไม่ออก เรื่องที่ 2. Tinea versicolor ผู้ป่วยมีอาการผิวหนังเป็นปื้นสีขาว ที่แก้มซ้าย ได้รับการวินิจฉัยว่าเป็นเกลื้อน ได้รับยา Clotrimazole cream</t>
  </si>
  <si>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</si>
  <si>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</si>
  <si>
    <t>0.82 g</t>
  </si>
  <si>
    <t>1.00 g</t>
  </si>
  <si>
    <t>1.21 g</t>
  </si>
  <si>
    <t>4.76 g</t>
  </si>
  <si>
    <t>3.92 g ห้ามนำไปทำซ้ำทุกกรณี เว้นแต่จะได้รับอนุญาต</t>
  </si>
  <si>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</si>
  <si>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67 (PLE_CC1_2559.md)</t>
  </si>
  <si>
    <t>จาก USP 39 กำหนดให้ Prednisolone cream ห้ามมีเชื้อใดในตำรับ</t>
  </si>
  <si>
    <t>S. aureus และ P. aeruginosa</t>
  </si>
  <si>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</si>
  <si>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 (Pharmtutor_2024_Set1.md)</t>
  </si>
  <si>
    <t>จากข้อมูลข้างต้น หากต้องการเตรียมยาน้ำเพื่อจ่ายให้ผู้ป่วยสำหรับเด็กรับประทาน ควรทำใน dosage form ใด</t>
  </si>
  <si>
    <t>Solutions</t>
  </si>
  <si>
    <t>Syrups</t>
  </si>
  <si>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</si>
  <si>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100 (Pharmtutor_2024_Set1.md)</t>
  </si>
  <si>
    <t>ข้อใดต่อไปนี้ กล่าวไม่ถูกต้องเกี่ยวกับ suspensions</t>
  </si>
  <si>
    <t>Suspensions รูปแบบยาฉีดนิยมให้ทาง IM และ SC</t>
  </si>
  <si>
    <t>เหมาะกับผู้ป่วยที่ไม่สามารถกลืนยาเม็ด หรือ แคปซูลได้</t>
  </si>
  <si>
    <t>นิยมเตรียมในยาที่ไม่ละลายน้ำ</t>
  </si>
  <si>
    <t>ใช้เตรียมยาที่มีรสชาติไม่น่ารับประทาน เพื่อกลบรสชาติของตัวยา</t>
  </si>
  <si>
    <t>เป็นรูปแบบ liquid-liquid dispersion</t>
  </si>
  <si>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</si>
  <si>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108 (Pharmtutor_2024_Set1.md)</t>
  </si>
  <si>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</si>
  <si>
    <t>Irritant contact dermatitis</t>
  </si>
  <si>
    <t>Hyperpigmentation</t>
  </si>
  <si>
    <t>Peeling skin</t>
  </si>
  <si>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</si>
  <si>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 (Pharmtutor_2024_Set2.md)</t>
  </si>
  <si>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</si>
  <si>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</si>
  <si>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 (PLE_CC1_2557.md)</t>
  </si>
  <si>
    <t>หลังทำความสะอาดแผล ผู้ป่วยควรได้รับยาฆ่าเชื%อใด (1) Silver sulfadiazine cream (2) Oxytetracycline ointment (3) Chloramphenicol gel (4) Bacitracin cream (5) Neomycin powder</t>
  </si>
  <si>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</si>
  <si>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การพัฒนายา Insulin ให้อยู่ในรูปสารประกอบเชิงซ้อน สามารถใช้สารใด (1) Protamine sulfate (2) Calcium carbonate (3) Triethanolamine (4) Sodium chloride (5) Dextrose</t>
  </si>
  <si>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</si>
  <si>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13 (PLE_CC1_2557.md)</t>
  </si>
  <si>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</si>
  <si>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</si>
  <si>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</si>
  <si>
    <t>ข้อ 44 (PLE_CC1_2557.md)</t>
  </si>
  <si>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</si>
  <si>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</si>
  <si>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</si>
  <si>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</si>
  <si>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62 (PLE_CC1_2557.md)</t>
  </si>
  <si>
    <t>สารในข้อใด สามารถทำให้ Kaolin &amp; pectin suspension มีรูปแบบการไหลแบบ thixotropic ได้ (1) SCMC (2) Veegum (3) … จำตัวเลือกไม่ได้ ...</t>
  </si>
  <si>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</si>
  <si>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63 (PLE_CC1_2557.md)</t>
  </si>
  <si>
    <t>ยาอันดับแรกที_x001E_ควรได้รับคือข้อใด (1) Topical tretinoin (2) Clindamycin gel (3) Oral doxycycline (4) Oral isotretinoin (5) Combination contraceptive pills</t>
  </si>
  <si>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</si>
  <si>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</si>
  <si>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</si>
  <si>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74 (PLE_CC1_2557.md)</t>
  </si>
  <si>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</si>
  <si>
    <t>Immediate type</t>
  </si>
  <si>
    <t>Immune complex</t>
  </si>
  <si>
    <t>Antibody-dependent cytotoxic</t>
  </si>
  <si>
    <t>Delayed type</t>
  </si>
  <si>
    <t>Anaphylactic reaction</t>
  </si>
  <si>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</si>
  <si>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102 (PLE_CC1_2555 Day 1.md)</t>
  </si>
  <si>
    <t>Extemperaneous preparation CBZ suspension ให้มีตัวยา CBZ 200 mg/tsp โดยใส่ Sucrose 200 g Paraben q.s. MC 400 2 g Purified water qs 500 ml ให้มีตัวยา 200 mg/tsp ต้องใช้ CBZ กี่เม็ด เด็กกิน 1 tsp OD 30 วัน</t>
  </si>
  <si>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</si>
  <si>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 (PLE_CC1_2555 Day 2.md)</t>
  </si>
  <si>
    <t>MC suspension ทำให้หนืดเมื่อตั้งทิ้งไว้ ไหลได้เมื่อเขย่า เป็นการไหลแบบใด</t>
  </si>
  <si>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</si>
  <si>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Steroid cream MCQ 1/2555 by CURx69 page 15</t>
  </si>
  <si>
    <t>หากต้องการ Ointment ที่ล้างออกง่ายควรใช้เบสลักษณะใด</t>
  </si>
  <si>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</si>
  <si>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พบว่าแพ้มาเป็นเวลานาน 3 วันหลังรับประทาน ลักษณะการแพ้แบบนี้เป็น Hypersensitivity ชนิดใด หากใช้เกณฑ์ พิจารณาของ Gell และ Coombs</t>
  </si>
  <si>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</si>
  <si>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สูตรตำรับFeSO4 12.5 mg, Citric acid ...., Paraben 0.1 mg, Syrup to 100 ml ข้อใดถูกต้อง</t>
  </si>
  <si>
    <t>ไม่มีสารแต่งรส</t>
  </si>
  <si>
    <t>เก็บในขวดใส</t>
  </si>
  <si>
    <t>เก็บในตู้เย็น</t>
  </si>
  <si>
    <t>ไม่มี stabilizer</t>
  </si>
  <si>
    <t>ปัญหาการละลาย paraben ส่วน FeSO4 ละลายได้ดีในนํ้า</t>
  </si>
  <si>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</si>
  <si>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</si>
  <si>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</si>
  <si>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</si>
  <si>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</si>
  <si>
    <t>vitamin E , D , K ในตำรับ emulsion</t>
  </si>
  <si>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</si>
  <si>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</si>
  <si>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</si>
  <si>
    <t>ไม่เหมาะสม เนื่องจากยา clindamycin ต้องใช้รักษาสิววันละครั้ง ก่อนนอนเท่านั้น</t>
  </si>
  <si>
    <t>ไม่เหมาะสม เนื่องจากการใช้ยา clindamycin เป็นยาเดี่ยวจะทำให้ดื้อยาได้ ต้องใช้คู่กับ antibiotic แบบรับประทานด้วย</t>
  </si>
  <si>
    <t>ไม่เหมาะสม เนื่องจากการใช้ยา clindamycin เป็นยาเดี่ยวจะทำให้ดื้อยาได้ ต้องใช้คู่กับ benzoyl peroxide</t>
  </si>
  <si>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</si>
  <si>
    <t>เหมาะสม เนื่องจากการใช้ clindamycin gel จะทำป้องกันการกลับมาเป็นสิวซ้ำได้ ถ้าใช้เป็นระยะ เวลานาน</t>
  </si>
  <si>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</si>
  <si>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</si>
  <si>
    <t>B&gt;C&gt;D&gt;A</t>
  </si>
  <si>
    <t>D&gt;B&gt;C&gt;A</t>
  </si>
  <si>
    <t>C&gt;D&gt;B&gt;A</t>
  </si>
  <si>
    <t>C&gt;B&gt;D&gt;A</t>
  </si>
  <si>
    <t>D&gt;C&gt;B&gt;A</t>
  </si>
  <si>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</si>
  <si>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</si>
  <si>
    <t>Silicones</t>
  </si>
  <si>
    <t>Soft soap containing alcohol</t>
  </si>
  <si>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</si>
  <si>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เภสัชภัณฑ์รูปแบบของเหลว (Liquid dosage form) โดย ฝ่ายวิชาการ สโมสรนักศึกษาคณะเภสัชศาสตร์ มหาวิทยาลัยพายัพ - ยาน้ำใส</t>
  </si>
  <si>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</si>
  <si>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</si>
  <si>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</si>
  <si>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Zinc Cream BP Rx Zinc Oxide, Finely sifted 320 g Calcium Hydroxide 0.45 g Oleic acid 5 ml Arachis oil 320 ml Wool Fat 80 g Purified water q.s. 100 ml จากสูตรตำรับข้างต้นข้อความใดต่อไปนี้ถูกต้อง</t>
  </si>
  <si>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</si>
  <si>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สูตรตำรับข้างต้นเป็นครีมชนิดน้ำในน้ำมัน</t>
  </si>
  <si>
    <t>จากสูตรตำรับข้างต้นเป็นการใช้ยาพื้นขี้ผึ้ง (Ointment base) แบบใด</t>
  </si>
  <si>
    <t>ยาพื้นชนิดเป็นมัน</t>
  </si>
  <si>
    <t>ยาพื้นชนิดดูดน้ำได้</t>
  </si>
  <si>
    <t>ยาพื้นอิมัลชันชนิด w/o</t>
  </si>
  <si>
    <t>ยาพื้นอิมัลชันชนิด o/w</t>
  </si>
  <si>
    <t>ยาพื้นชนิดละลายน้ำได้ 27.ข้อใดเป็นยาพื้นขี้ผึ้งชนิด Absorption base</t>
  </si>
  <si>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</si>
  <si>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ยาเพสต์มีตัวยาที่เป็นของแข็งมากกว่า และมีเนื้อหยาบกว่ายาขี้ผึ้ง</t>
  </si>
  <si>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</si>
  <si>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ยาเพสต์มีความมันมากกว่ายาขี้ผึ้ง เพราะมีปริมาณ base มากกว่า</t>
  </si>
  <si>
    <t>ข้อ 1, 2 ถูก</t>
  </si>
  <si>
    <t>ข้อ 1, 3 ถูก</t>
  </si>
  <si>
    <t>ข้อ 1, 3, 4 ถูก</t>
  </si>
  <si>
    <t>ข้อ 2, 3, 5 ถูก</t>
  </si>
  <si>
    <t>ไม่มีข้อใดผิด ยาขี้ผึ้งโดยยานั้นเป็นขี้ผึ้งชนิดใด</t>
  </si>
  <si>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</si>
  <si>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</si>
  <si>
    <t>ผิดเนื่องจาก ยาเพสต์ไม่เหมาะกับผิวหนังที่มีผม หรือขนมากๆ เนื่องจากล้างออกยาก</t>
  </si>
  <si>
    <t>ผิดเนื่องจากตำรับยาครีมและตำรับอิมัลชันเป็นตำรับที่ประกอบไปด้วย วัตภาคที่ชอบน้ำมัน (lipophilic phase) และ วัตภาคที่ชอบน้ำ (hydrophilic phase)</t>
  </si>
  <si>
    <t>ตำรับยาเพสต์ เหมาะกับแผลที่มีน้ำเหลือง เนื่องจากผงยาจำนวนมากสามารถดูดซับของเหลวออกจากแผล ได้ดี</t>
  </si>
  <si>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</si>
  <si>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</si>
  <si>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ไม่ตรงกับข้อบ่งใช้หรือกลไกการออกฤทธิ์ที่ถูกต้องตาม Thai Pharmacopoeia / USP &lt;1&gt; GMP Guidelines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</si>
  <si>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Aristocortห (0.02% Triamcinolone acetonide cream) เภสัชกรร้านยาสามารถจ่ายโดยไม่มีใบสั่งยา ได้หรือไม่</t>
  </si>
  <si>
    <t>ไม่ได้ เนื่องจากเป็นยาควบคุมพิเศษ</t>
  </si>
  <si>
    <t>ไม่ได้ เนื่องจากเป็นยาจำหน่ายเฉพาะในโรงพยาบาล</t>
  </si>
  <si>
    <t>ได้ เนื่องจากเป็นยาแผนปัจจุบันชนิดใช้เฉพาะที่</t>
  </si>
  <si>
    <t>ได้ เนื่องจากเป็นยาทาที่ไม่เป็นอันตราย</t>
  </si>
  <si>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</si>
  <si>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</si>
  <si>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</si>
  <si>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</si>
  <si>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</si>
  <si>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</si>
  <si>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Triethanolamine ทำหน้าที่เป็น Preservative</t>
  </si>
  <si>
    <t>มี gelatin เป็นส่วนประกอบ</t>
  </si>
  <si>
    <t>Whitfield’s Ointment</t>
  </si>
  <si>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</si>
  <si>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พบว่าแพ้มาเป็นเวลานาน 3 วันหลังรับประทาน ลักษณะการแพ้แบบนี้เป็น Hypersensitivity ชนิดใด หากใช้เกณฑ์พิจารณาของ Gell และ Coombs</t>
  </si>
  <si>
    <t>เปลี่ยนเป็นยาครีม</t>
  </si>
  <si>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</si>
  <si>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</si>
  <si>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</si>
  <si>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89 (PLE_CC1_Key_Rx20_UBU.md)</t>
  </si>
  <si>
    <t>การเติมสาร antioxidant เพื่อเพิ่มความคงตัวของตัวยาของตำรับ gel vaginal ที่มี carbopol ในส่วนของ aqueous phase system ควรเลือกสารในข้อใด</t>
  </si>
  <si>
    <t>BHP</t>
  </si>
  <si>
    <t>BHP + Citric acid</t>
  </si>
  <si>
    <t>BHP + Sodium metabisulfite</t>
  </si>
  <si>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</si>
  <si>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Ascorbic acid + Ascorbate palmitate ตัวนี้ไ่ม่เกิดการทำปฏิกิริยากับสารก่อ gel คือ Carbopol</t>
  </si>
  <si>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</si>
  <si>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</si>
  <si>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tretinoic acid cream</t>
  </si>
  <si>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</si>
  <si>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Betamethasone dipropionate cream</t>
  </si>
  <si>
    <t>Acetretin = x</t>
  </si>
  <si>
    <t>MTX = x</t>
  </si>
  <si>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</si>
  <si>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tretinoic acid cream = x</t>
  </si>
  <si>
    <t>Betamethasone dipropionate cream = C</t>
  </si>
  <si>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</si>
  <si>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</si>
  <si>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Tween 80 เท่ากับ 56 % และ Span 80 เท่ากับ 44 %</t>
  </si>
  <si>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</si>
  <si>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Tween 80 เท่ากับ 7 % และ Span 80 เท่ากับ 5 %</t>
  </si>
  <si>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</si>
  <si>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Tween 80 เท่ากับ 5.6 % และ Span 80 เท่ากับ 4.4 %</t>
  </si>
  <si>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</si>
  <si>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Tween 80 เท่ากับ 5.8 % และ Span 80 เท่ากับ 4.2 %</t>
  </si>
  <si>
    <t>Tween 80 เท่ากับ 4.2 % และ Span 80 เท่ากับ 5.8 % &amp; Tweer 1 / -1 / Span 3 - - ิ → เหง้าSpr alliqout technique Tween80 = 7/12 x 10 = 5.83 % Span = 5/12 x 10 = 4.17 %</t>
  </si>
  <si>
    <t>O/W เนื่องจากตำรับดังกล่าวมีส่วนของวัฏภาคน้ำสูงกว่าวัฏภาคน้ำมัน และมีค่า HLB ของ Emulsifier ที่สูง</t>
  </si>
  <si>
    <t>W/O เนื่องจากตำรับดังกล่าวมีส่วนของวัฏภาคน้ำมันสูงกว่าวัฏภาคน้ำ และมีค่า HLB ของ Emulsifier ที่สูง</t>
  </si>
  <si>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</si>
  <si>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เนื่องจากตำรับดังกล่าวมีการใช้ Tween และ Span ซึ่งเป็น Emulsifier ชนิด Non-ionic surfactant Emulsifier ที่สูง</t>
  </si>
  <si>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</si>
  <si>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ยาครีมอิมัลชันที่แยกชั้นออกจากกัน</t>
  </si>
  <si>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</si>
  <si>
    <t>Reducing sugar Mayer’s test ให้ผลเป็นสีครีม และ Dragendorff’s test ได้เป็นตะกอนสีส้ม คือผลการทดสอบสารกลุ่ม Alkaloids</t>
  </si>
  <si>
    <t>เป็น noninonic surfactant เพื่อเลียนแบบสภาวะในกระเพาะอาหาร</t>
  </si>
  <si>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</si>
  <si>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</si>
  <si>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</si>
  <si>
    <t>Hydrophilic colloids: acacia, tragacanth, pectic, sodium alginate, gelatin, Cellulose derivative( Methylcellulose, sodium carboxy methylcellulose, ethylcellulose</t>
  </si>
  <si>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</si>
  <si>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</si>
  <si>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วิทยุโฆษณาชุมชน โฆษณาวGา .” รักษาสิว นึกถึง clindamycin gel” ทำได$หรือไมG</t>
  </si>
  <si>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</si>
  <si>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</si>
  <si>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Chloramphenicol eye drop + Oxytetracycline ophthalmic ointment</t>
  </si>
  <si>
    <t>Oxytetracycline ophthalmic ointment + Gentamicin eye drop</t>
  </si>
  <si>
    <t>Polymixin B + Neomycin ointment</t>
  </si>
  <si>
    <t>16 ไม่มีคำตอบ คิดได้ 11.97 Liquid parafin 30% 33.5% 30/33.5 x 12 = 10.75 HLB 11.97 Wool fat 2% 2/33.5 x 10 = 0.597 Stearyl alcohol 1.5%</t>
  </si>
  <si>
    <t>5/33.5 x 14 = 0.627</t>
  </si>
  <si>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</si>
  <si>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หากจะเปลี่ยนจากยา Clotrimazole cream เป็นยารูปแบบรับประทาน ควรใช้ยาใด</t>
  </si>
  <si>
    <t>Griseofulvin หลังจากนั้นสักพักผู้ป่วยอาการไม่ดีขึ้น เมื่อไปพบแพทย์ แพทย์จ่ายยา Itraconazole มาให้รับประทาน</t>
  </si>
  <si>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</si>
  <si>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ยาทา Piroxicam cream จะต้องทำ Specific test ในหัวข้อใด</t>
  </si>
  <si>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</si>
  <si>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</si>
  <si>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107 (PLE_CC1_Key_Rx20_UBU.md)</t>
  </si>
  <si>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</si>
  <si>
    <t>ข้อ ๑ (PLE_CC1_Key_Rx20_UBU.md)</t>
  </si>
  <si>
    <t>ผลิตภัณฑ์ยาน้ำข้างต้นไม่สามารถขายได้ในสถานที่ใด</t>
  </si>
  <si>
    <t>ร้านขายสมุนไพร</t>
  </si>
  <si>
    <t>ร้านขายยาแผนปัจจุบัน</t>
  </si>
  <si>
    <t>ร้านขายยาส่งแผนปัจจุบัน</t>
  </si>
  <si>
    <t>ร้าน ขย.2</t>
  </si>
  <si>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</si>
  <si>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</si>
  <si>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115 (PLE_CC1_Key_Rx20_UBU.md)</t>
  </si>
  <si>
    <t>ปัจจัยใดไม่ส่งผลต่อชนิดของครีม</t>
  </si>
  <si>
    <t>ลำดับการผสม</t>
  </si>
  <si>
    <t>ชนิดของสารก่ออิมัลชั่น</t>
  </si>
  <si>
    <t>ปริมาณรวมของสารก่ออิมัลชั่น</t>
  </si>
  <si>
    <t>สัดส่วนของสารก่ออิมัลชั่น</t>
  </si>
  <si>
    <t>สัดส่วนของน้ำมันต่อน้ำ</t>
  </si>
  <si>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</si>
  <si>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</si>
  <si>
    <t>1:1</t>
  </si>
  <si>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</si>
  <si>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ในการเตรียม Aspirin Suspension หากต้องการเติมสารบัฟเฟอร์ ปรับ pH ให้มี pH เท่ากับ 6.8 ภก.ควรจะใช้บัฟเฟอร์ใด</t>
  </si>
  <si>
    <t>NaH2PO4 (pKa 7.21)/ Na2HPO4</t>
  </si>
  <si>
    <t>Na2HPO4 / Na3PO4</t>
  </si>
  <si>
    <t>Acetic acid (pKa 4.76)/ Sodium acetate</t>
  </si>
  <si>
    <t>Boric acid (pKa 8.24)/Sodium borate</t>
  </si>
  <si>
    <t>HCl/NaOH</t>
  </si>
  <si>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</si>
  <si>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ในการเตรียม aspirin suspension หากต้องการให้ยาตกตะกอนไม่เร็วเกินไป สารปรุงแต่งที่ต้องเติมคือ</t>
  </si>
  <si>
    <t>Tween 80</t>
  </si>
  <si>
    <t>Aluminium chloride</t>
  </si>
  <si>
    <t>Sodium citrate</t>
  </si>
  <si>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</si>
  <si>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</si>
  <si>
    <t>Flocculation</t>
  </si>
  <si>
    <t>Lamination</t>
  </si>
  <si>
    <t>Coalescence</t>
  </si>
  <si>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</si>
  <si>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สูตรตำรับย้ำน้ำ Ferrous sulfate
- Ferrous sulfate 12.5 g
- Citric acid 0.2 g
- Paraben conc. 1 ml
- Syrup add qs 100 ml
ข้อใดถูก</t>
  </si>
  <si>
    <t>มีปัญหาการละลาย</t>
  </si>
  <si>
    <t>ต้องเก็บในตู้เย็น</t>
  </si>
  <si>
    <t>เก็บในขวดใส ปิดสนิท</t>
  </si>
  <si>
    <t>ไม่มีสารเพิ่มความคงตัว</t>
  </si>
  <si>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</si>
  <si>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</si>
  <si>
    <t>0.625 mg</t>
  </si>
  <si>
    <t>2.625 mg</t>
  </si>
  <si>
    <t>62.5 mg</t>
  </si>
  <si>
    <t>375 mg</t>
  </si>
  <si>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</si>
  <si>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</si>
  <si>
    <t>Stearic acid</t>
  </si>
  <si>
    <t>Potassium hydroxide</t>
  </si>
  <si>
    <t>Potassium stearate</t>
  </si>
  <si>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</si>
  <si>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ค่า required HLB ในการเกิดเป็น o/w emulsion ของวัตภาคน้ำมัน stearic acid และ liquid paraffin ในตำรับข้อ 71 มีค่าเท่ากับ</t>
  </si>
  <si>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</si>
  <si>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73 Pharma Plus เล่มม่วง (เฉลยข้อ )</t>
  </si>
  <si>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</si>
  <si>
    <t>Very soluble</t>
  </si>
  <si>
    <t>Sparingly soluble</t>
  </si>
  <si>
    <t>Soluble</t>
  </si>
  <si>
    <t>Freely soluble</t>
  </si>
  <si>
    <t>Insoluble</t>
  </si>
  <si>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</si>
  <si>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98 Pharma Plus เล่มม่วง (เฉลยข้อ ค)</t>
  </si>
  <si>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</si>
  <si>
    <t>Preservatives</t>
  </si>
  <si>
    <t>Sweetening agent</t>
  </si>
  <si>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</si>
  <si>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106 Pharma Plus เล่มม่วง (เฉลยข้อ ข)</t>
  </si>
  <si>
    <t>เมื่อนำครีมมาเตรียมในรูปแบบครีมทาผิวลดไขมันและประเมินความคงตัว ข้อใดเป็นวิธีที่ไม่เหมาะสมมากที่สุด</t>
  </si>
  <si>
    <t>นำไปปั่นเหวี่ยงที่ความเร็วรอบ 3,750 รอบ/นาที เป็นเวลา 5 ชั่วโมง</t>
  </si>
  <si>
    <t>นำไปเก็บไว้ที่อุณหภูมิ 180 C เป็นเวลา 12 ชั่วโมง</t>
  </si>
  <si>
    <t>นำไปเก็บไว้ที่อุณหภูมิ -5 C สลับกับ 40 C ทุก ๆ 24 ชั่วโมง เป็นจำนวน 24 รอบ</t>
  </si>
  <si>
    <t>นำไปเก็บไว้ที่อุณหภูมิ 4 C, 25 C และ 45 Cเป็นเวลา 6 เดือน</t>
  </si>
  <si>
    <t>นำไปเก็บไว้ที่อุณหภูมิ 25 C เป็นเวลา 2 ปี</t>
  </si>
  <si>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</si>
  <si>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124 Pharma Plus เล่มม่วง (เฉลยข้อ ข)</t>
  </si>
  <si>
    <t>สารทำ emulsion ที่ดีของยาครีม isotretinoin ควรมีคุณสมบัติ</t>
  </si>
  <si>
    <t>ลดแรงตึงผิว</t>
  </si>
  <si>
    <t>เพิ่มความหนืดให้กับครีม</t>
  </si>
  <si>
    <t>ให้ศักย์ไฟฟ้าที่เหมาะสมเพื่อให้เกิดแรงผลักของหยด</t>
  </si>
  <si>
    <t>มีประสิทธิภาพความเข้มข้นต่ำ</t>
  </si>
  <si>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</si>
  <si>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154 Pharma Plus เล่มม่วง (เฉลยข้อ จ)</t>
  </si>
  <si>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</si>
  <si>
    <t>White beeswax</t>
  </si>
  <si>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</si>
  <si>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156 Pharma Plus เล่มม่วง (เฉลยข้อ ค)</t>
  </si>
  <si>
    <t>ตำรับ aspirin suspension ที่เตรียมแล้วพบว่า เมื่อตั้งทิ้งไว้เป็นก้อนแข็ง เรียกปรากฏการณ์นี้ว่า</t>
  </si>
  <si>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</si>
  <si>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168 Pharma Plus เล่มม่วง (เฉลยข้อ จ)</t>
  </si>
  <si>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</si>
  <si>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</si>
  <si>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95 (PLE_CC1_2561_Key.md)</t>
  </si>
  <si>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</si>
  <si>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</si>
  <si>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</si>
  <si>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</si>
  <si>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</si>
  <si>
    <t>ตำรับนี้เหมือน Gelatinized glycerin</t>
  </si>
  <si>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</si>
  <si>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Liquid &amp; Semisolid Dosage Forms</t>
  </si>
  <si>
    <t>ข้อสอบจริง Product ปี 2567 ข้อ 13</t>
  </si>
  <si>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</si>
  <si>
    <t>การเพิ่มขนาดอนุภาคเกิดจากการรวมตัวของอนุภาค (aggregation)</t>
  </si>
  <si>
    <t>Sodium metabisulfite ทำน้าที่เป็น binder</t>
  </si>
  <si>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</si>
  <si>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2567 ข้อ 36</t>
  </si>
  <si>
    <t>(ปี 2566, Day 2 ข้อ 48\) (เรื่อง: Theobroma Oil) ⚠️ เกี่ยวกับ Theobroma Oil ข้อใดผิด</t>
  </si>
  <si>
    <t>มีอีกชื่อว่า Cocoa butter</t>
  </si>
  <si>
    <t>สามารถเตรียมได้ด้วยวิธี emulsion method เหตุผล: เพราะ Theobroma oil เป็น oleaginous (fatty) base ที่เตรียมยาเหน็บด้วยวิธี fusion (molding) method เป็นหลัก ไม่ใช่ emulsion method</t>
  </si>
  <si>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</si>
  <si>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2566 ข้อ 18</t>
  </si>
  <si>
    <t>(ปี 2566, Day 2 ข้อ 64\) (เรื่อง: สารหล่อลื่นแม่พิมพ์ยาเหน็บ) สูตรตำรับยาเหน็บ ถามว่าใช้อะไรเป็นสารหล่อลื่นแม่พิมพ์</t>
  </si>
  <si>
    <t>Cocoa butter</t>
  </si>
  <si>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</si>
  <si>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</si>
  <si>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2566 ข้อ 24</t>
  </si>
  <si>
    <t>(ปี 2566, Day 2 ข้อ 79\) (เรื่อง: ครีมพื้น PEG 400/4000 \+ PG) ตำรับครีมมี PEG 400, PEG 4000, PG เป็นยาพื้นชนิดใด</t>
  </si>
  <si>
    <t>Olegenous base</t>
  </si>
  <si>
    <t>O/W emulsion base</t>
  </si>
  <si>
    <t>Water soluble base</t>
  </si>
  <si>
    <t>Absorption base</t>
  </si>
  <si>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</si>
  <si>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2566 ข้อ 29</t>
  </si>
  <si>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</si>
  <si>
    <t>Coalescense</t>
  </si>
  <si>
    <t>Caking เหตุผล: Bleeding คือการที่วัฏภาคของเหลว แยกตัวออกมาปรากฏเป็นหยดบนผิวหน้าครีม/เจล ต่างจาก Breaking/Coalescence ที่อิมัลชันแยกชั้นถาวร</t>
  </si>
  <si>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</si>
  <si>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2566 ข้อ 30</t>
  </si>
  <si>
    <t>(ปี 2566, Day 2 ข้อ 81\) (เรื่อง: ครีมที่มี SLS) ตำรับครีมมี SLS (Sodium Lauryl Sulfate) เป็นครีมประเภทไหน</t>
  </si>
  <si>
    <t>cold cream</t>
  </si>
  <si>
    <t>anionic cream</t>
  </si>
  <si>
    <t>cationic cream</t>
  </si>
  <si>
    <t>nonionic cream เหตุผล: SLS เป็น anionic surfactant จึงจัดตำรับเป็นครีมชนิด anionic (O/W emulsion ที่คงตัวด้วยอิมัลซิไฟเออร์ประจุลบ)</t>
  </si>
  <si>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</si>
  <si>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2566 ข้อ 31</t>
  </si>
  <si>
    <t>ตํารับนี้เป็นยารูปแบบใด</t>
  </si>
  <si>
    <t>Cream</t>
  </si>
  <si>
    <t>จำ Choice ไม่ได้</t>
  </si>
  <si>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</si>
  <si>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1</t>
  </si>
  <si>
    <t>triethanolamine ทําหน้าที่อะไรในตํารับ</t>
  </si>
  <si>
    <t>neutralize carbopol</t>
  </si>
  <si>
    <t>protect? Capsaicinoid</t>
  </si>
  <si>
    <t>preservative</t>
  </si>
  <si>
    <t>จำ Choice ไม่ได้ กรณีศึกษา 2 ผู้ป่วยชายอายุ 56 ปี เป็น DM, HTN, CKD ได้ยา pioglitazone, HCTZ, ISDN SL</t>
  </si>
  <si>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</si>
  <si>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2</t>
  </si>
  <si>
    <t>ให้ส่วนประกอบ mometasone nasal spray 0.5% ถามว่า Citric acid กับ sodium citrate ทำหน้าที่อะไรในตำรับ</t>
  </si>
  <si>
    <t>Buffer</t>
  </si>
  <si>
    <t>antioxidant</t>
  </si>
  <si>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</si>
  <si>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</si>
  <si>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40</t>
  </si>
  <si>
    <t>ถ้าได้ยา suspension ต้องทำไงถึงจะทำให้มียาตกตะกอนนอนก้น (sedimentation rate) น้อยที่สุด</t>
  </si>
  <si>
    <t>เพิ่มความหนืดตัวกลาง</t>
  </si>
  <si>
    <t>เพิ่มขนาดอนุภาคผงยา</t>
  </si>
  <si>
    <t>เพิ่มความหนาแน่นผงยา</t>
  </si>
  <si>
    <t>เพิ่ม flocculating agent</t>
  </si>
  <si>
    <t>เพิ่มการกระจายขนาดผงยา</t>
  </si>
  <si>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</si>
  <si>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84</t>
  </si>
  <si>
    <t>"Property of gel former is thermosensitive hydrogel...." ถามว่าสารก่อเจลตัวนี้คือสารใด</t>
  </si>
  <si>
    <t>Poloxamer</t>
  </si>
  <si>
    <t>Polyvinyl chloride</t>
  </si>
  <si>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</si>
  <si>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94</t>
  </si>
  <si>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</si>
  <si>
    <t>Carbopol 1432</t>
  </si>
  <si>
    <t>mineral oil</t>
  </si>
  <si>
    <t>peg 300 isosterate</t>
  </si>
  <si>
    <t>propylene glycol กรณีที่ 13</t>
  </si>
  <si>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</si>
  <si>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อยากเพิ่มระยะเวลาให้ยาอยู่ที่กระจกตานานขึ้น ควรเติมสารใด</t>
  </si>
  <si>
    <t>Viscosity enhancer</t>
  </si>
  <si>
    <t>surface active agent</t>
  </si>
  <si>
    <t>isotonic agent</t>
  </si>
  <si>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</si>
  <si>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</si>
  <si>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43</t>
  </si>
  <si>
    <t>Aluminum hydroxide paste eq. to Aluminum hydroxide 4 g, glycerol, sorbitol, methyl hydroxybenzoate, propyl hydroxybenzoate purified water qs. to 100 ml หากเตรียมจริง จะได้ตำรับอะไร</t>
  </si>
  <si>
    <t>oral solution</t>
  </si>
  <si>
    <t>syrup</t>
  </si>
  <si>
    <t>tincture</t>
  </si>
  <si>
    <t>emulsion</t>
  </si>
  <si>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</si>
  <si>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78</t>
  </si>
  <si>
    <t>Calamide suspension ตกตะกอน เขย่าแล้วไม่กลับคืน เรียกว่าอะไร</t>
  </si>
  <si>
    <t>Upward Creaming</t>
  </si>
  <si>
    <t>Downward Creaming</t>
  </si>
  <si>
    <t>\จำ choice ไม่ได้ \ เฉลยข้อสอบ 2565 Day 1 กรณีศึกษาที่ 1 ข้อ</t>
  </si>
  <si>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</si>
  <si>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2565 ข้อ 82</t>
  </si>
  <si>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</si>
  <si>
    <t>Purified water : Vehicle</t>
  </si>
  <si>
    <t>Mineral oil : levigating agent สำหรับ ointment ถ้านำไปใช้ในยาน้ำจะเกิดการแยกชั้น</t>
  </si>
  <si>
    <t>Benzyl alcohol : preservative ไม่ใช้เป็น wetting agent และอาจมีพิษในทารก (gasping syndrome)</t>
  </si>
  <si>
    <t>Alcohol : Solvent / Cosolvent กรณีศึกษา 7</t>
  </si>
  <si>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</si>
  <si>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ตอบ ข้อ ง. peg 300 isosterate คำอธิบาย : เนื่องจากเป็น Emulsifier สำหรับในข้ออื่น</t>
  </si>
  <si>
    <t>[แนบรูป: ข้อสอบ Product ปี 2565 รหัสรูปภาพ image50]</t>
  </si>
  <si>
    <t>Carbopol 1432 \= Thickening agent, gelling agent</t>
  </si>
  <si>
    <t>Hypromellose \= Thickening agent</t>
  </si>
  <si>
    <t>mineral oil \= Emollient</t>
  </si>
  <si>
    <t>peg 300 isosterate \= Emulsifier</t>
  </si>
  <si>
    <t>propylene glycol \= Co-solvent, humectant [แนบรูป: ข้อสอบ Product ปี 2565 รหัสรูปภาพ image50]</t>
  </si>
  <si>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</si>
  <si>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ตอบ ข.suspension คำอธิบาย :</t>
  </si>
  <si>
    <t>[แนบรูป: ข้อสอบ Product ปี 2565 รหัสรูปภาพ image63]</t>
  </si>
  <si>
    <t>oral solution  : API ไม่ละลายน้ำ เตรียมเป็น solution ไม่ได้</t>
  </si>
  <si>
    <t>syrup  :  ไม่มีในตำรับ</t>
  </si>
  <si>
    <t>tincture : ในตำรับไม่มี alcohol</t>
  </si>
  <si>
    <t>emulsion :  ในตำรับไม่มี emulsifying agent [แนบรูป: ข้อสอบ Product ปี 2565 รหัสรูปภาพ image63]</t>
  </si>
  <si>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</si>
  <si>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</si>
  <si>
    <t>[แนบรูป: ข้อสอบ Product ปี 2564 รหัสรูปภาพ image70]</t>
  </si>
  <si>
    <t>เพิ่มอุณหภูมิการอบแห้ง  ทำให้แห้งเร็วเกินไป ฟิล์มอาจยิ่งเปราะ</t>
  </si>
  <si>
    <t>เพิ่มgelatinในนํ้ายาเคลือบ</t>
  </si>
  <si>
    <t>เพิ่ม Talcum ในน้ำยาเคลือบ Talc เป็นสารกันติด (glidant) ไม่ช่วยแก้ปัญหาฟิล์มแตก</t>
  </si>
  <si>
    <t>เพิ่มอัตราเร็วการหมุนของหม้อเคลือบ อาจทำให้เม็ดยาชนกันแรงขึ้นและแตกง่ายกว่าเดิม</t>
  </si>
  <si>
    <t>เพิ่มอัตราการให้น้ำยาเคลือบ  อาจทำให้เม็ดยาเปียกเกิน เกิดการติดกัน (sticking/picking)</t>
  </si>
  <si>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</si>
  <si>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7</t>
  </si>
  <si>
    <t>ส่วนประกอบที่สําคัญของยาเม็ด ในยาที่เกิดการสลายตัวในสภาวะกรด</t>
  </si>
  <si>
    <t>Cellulose acetate phthalates</t>
  </si>
  <si>
    <t>PVP (Polyvinylpyrrolidone)  เป็นสารยึดเกาะ (Binder)</t>
  </si>
  <si>
    <t>HPMC (Hydroxypropyl methylcellulose)  เป็นสารเคลือบฟิล์มทั่วไป/เพิ่มความหนืด ไม่ใช่ enteric coating</t>
  </si>
  <si>
    <t>Sodium starch glycolate  เป็นสารช่วยแตกตัว (Disintegrant)</t>
  </si>
  <si>
    <t>Magnesium stearate เป็นสารหล่อลื่น (Lubricant)</t>
  </si>
  <si>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</si>
  <si>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12</t>
  </si>
  <si>
    <t>ข้อใดผิดเกี่ยวกับ piroxicam gel ให้สูตรตํารับมา</t>
  </si>
  <si>
    <t>Carbopol เป็น gelling agents</t>
  </si>
  <si>
    <t>Diisopropanolamine เป็น neutralizing agents</t>
  </si>
  <si>
    <t>Ethanol เป็น cosolvent</t>
  </si>
  <si>
    <t>Propylene glycol เป็น humectant</t>
  </si>
  <si>
    <t>Benzyl alcohol เป็น cosolvent คำอธิบาย: Benzyl alcohol มีหน้าที่หลักเป็น preservative (สารกันเสีย)</t>
  </si>
  <si>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</si>
  <si>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14</t>
  </si>
  <si>
    <t>เตรียมยา HRZE เพื่อเพิ่ม compliance การเตรียมยาวิธีใดทำ ให้เกิด incompatibility มากที่สุด</t>
  </si>
  <si>
    <t>Shellac  เป็นสารเคลือบยา (Coating agent/Enteric coating)</t>
  </si>
  <si>
    <t>Hypromellose (HPMC)  เป็นสารสร้างฟิล์ม/เพิ่มความหนืด (Film former, Viscosity enhancer)</t>
  </si>
  <si>
    <t>cross-linked sodium carboxymethyl cellulose</t>
  </si>
  <si>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</si>
  <si>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17</t>
  </si>
  <si>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</si>
  <si>
    <t>sorbitan monostearate, polysorbate 60</t>
  </si>
  <si>
    <t>sorbitan monostearate, polysorbate 60, 2-octyldodecanol</t>
  </si>
  <si>
    <t>polysorbate 60, cetostearyl alcohol</t>
  </si>
  <si>
    <t>polysorbate 60, cetostearyl alcohol, 2-octyldodecanol</t>
  </si>
  <si>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</si>
  <si>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</si>
  <si>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23</t>
  </si>
  <si>
    <t>ข้อใดเป็นสารช่วยแตกตัวใน desipramine tablet</t>
  </si>
  <si>
    <t>Shellac  สารเคลือบยา (Coating/Enteric coating)</t>
  </si>
  <si>
    <t>Hypromellose (HPMC)  สารสร้างฟิล์ม/เพิ่มความหนืด หรือใช้เป็น matrix ในยาออกฤทธิ์นาน</t>
  </si>
  <si>
    <t>Magnesium stearate  สารหล่อลื่น (Lubricant)</t>
  </si>
  <si>
    <t>Polyvinyl acetate phthalate (PVAP)  สารเคลือบลำไส้ (Enteric coating polymer)</t>
  </si>
  <si>
    <t>Crosslinked sodium carboxymethylcellulose เป็น Disintegrant (Superdisintegrant)</t>
  </si>
  <si>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</si>
  <si>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30</t>
  </si>
  <si>
    <t>ยาที่ผู้ป่วยได้รับมีตัวยาสำคัญ 70 mg, Methylcellulose, starch, lactose anhydrous, Croscarmellose sodium, Magnesium stearate ข้อใดทำหน้าที่เป็น super disintegrant</t>
  </si>
  <si>
    <t>Methylcellulose เป็น สารเพิ่มความหนืด (Viscosity enhancer) หรือ Binder</t>
  </si>
  <si>
    <t>Starch เป็น Disintegrant ทั่วไป (ไม่ใช่ Superdisintegrant)</t>
  </si>
  <si>
    <t>Lactose anhydrous เป็น สารเพิ่มปริมาณ (Diluent/Filler)</t>
  </si>
  <si>
    <t>Croscarmellose sodium เป็น Superdisintegrant</t>
  </si>
  <si>
    <t>Magnesium stearate เป็น สารหล่อลื่น (Lubricant)</t>
  </si>
  <si>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</si>
  <si>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47</t>
  </si>
  <si>
    <t>ให้สูตรตำรับ Aluminium and magnesium oral suspension ข้อใดคือ structured vehicle</t>
  </si>
  <si>
    <t>Glycerin  เป็น humectant และช่วยเพิ่มความหวาน/ความหนืดเล็กน้อย</t>
  </si>
  <si>
    <t>Sorbitol  เป็น sweetener และ vehicle</t>
  </si>
  <si>
    <t>Peppermint oil  เป็น flavoring agent</t>
  </si>
  <si>
    <t>Methylcellulose 400</t>
  </si>
  <si>
    <t>Tween 80 เป็น surfactant/wetting agent</t>
  </si>
  <si>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</si>
  <si>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51</t>
  </si>
  <si>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</si>
  <si>
    <t>Accuracy ❌ ความใกล้เคียงกับ "ค่าจริง (True value)"</t>
  </si>
  <si>
    <t>Precision ✅ ความใกล้เคียงกันของผลที่วัดซ้ำ</t>
  </si>
  <si>
    <t>Specificity ❌ ความสามารถในการวิเคราะห์สารเป้าหมายโดยไม่ถูกรบกวนจากสารอื่น</t>
  </si>
  <si>
    <t>Linearity ❌ ความสัมพันธ์เชิงเส้นระหว่างความเข้มข้นกับสัญญาณ</t>
  </si>
  <si>
    <t>Limit of determination ❌ ไม่ใช่พารามิเตอร์มาตรฐาน (มักใช้ Limit of Detection (LOD) หรือ Limit of Quantitation (LOQ))</t>
  </si>
  <si>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</si>
  <si>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54</t>
  </si>
  <si>
    <t>Ibuprofen soft gelatin capsule ออกฤทธิ์เร็ว เนื่องจากเมื่อเปลือกละลาย ตัวยาจะดูดซึมทันทีดังนั้นยาที่บรรจุในแคปซูลควรอยูในรูปแบบใด</t>
  </si>
  <si>
    <t>Pellets</t>
  </si>
  <si>
    <t>Powders</t>
  </si>
  <si>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</si>
  <si>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</si>
  <si>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62</t>
  </si>
  <si>
    <t>ควรใช้ binder ชนิดใด</t>
  </si>
  <si>
    <t>Pregelatinized starch ❌ เป็น binder ได้ แต่พบใช้เด่นใน wet granulation และมีบทบาทเป็น disintegrant ได้</t>
  </si>
  <si>
    <t>Lactose monohydrate ❌ เป็น diluent</t>
  </si>
  <si>
    <t>Microcrystalline cellulose (MCC) ✅ เป็น Dry binder ที่ใช้บ่อยมากใน Direct compression และ Dry granulation</t>
  </si>
  <si>
    <t>Sodium starch glycolate ❌ Superdisintegrant</t>
  </si>
  <si>
    <t>Dibasic calcium phosphate ❌ Diluent ไม่ใช่ binder</t>
  </si>
  <si>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</si>
  <si>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64</t>
  </si>
  <si>
    <t>ข้อใดไม่ใช่วิธีการควบคุมคุณภาพของยา Ibuprofen ที่เป็น soft gelatin</t>
  </si>
  <si>
    <t>ปริมาณการบรรจุ ✅ เป็น QC</t>
  </si>
  <si>
    <t>การละลาย ✅ เป็น QC</t>
  </si>
  <si>
    <t>การแตกตัว ✅ เป็น QC</t>
  </si>
  <si>
    <t>ระยะเวลาที่ปลดปล่อยนาน ❌ ไม่ใช่เพราะ Ibuprofen ที่เป็น soft gelatin เป็น Immediate-release ไม่ใช่ Extended หรือ Delayed release</t>
  </si>
  <si>
    <t>ความนิ่ม ✅ เกี่ยวข้องกับคุณภาพของเปลือก soft gelatin ส่วนประกอบของตำรับ: Castor oil Cholesterol Stearyl alcohol Citric acid Mineral oil Purified water qs</t>
  </si>
  <si>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</si>
  <si>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71</t>
  </si>
  <si>
    <t>ตำรับนี้เป็น dosage form อะไร</t>
  </si>
  <si>
    <t>Cream ❌ โจทย์ถามชนิดของฐานตำรับ ไม่ใช่เพียงรูปแบบกึ่งแข็ง</t>
  </si>
  <si>
    <t>Ointment W/O ❌ ใกล้เคียง แต่คำตอบที่จำเพาะกว่าคือ Absorption base</t>
  </si>
  <si>
    <t>Ointment O/W ❌ ไม่ใช่</t>
  </si>
  <si>
    <t>Absorption base ✅ ถูกต้อง</t>
  </si>
  <si>
    <t>Oleaginous base ❌ ถ้าเป็น oleaginous base จะไม่มีน้ำและไม่มีสารช่วยดูดน้ำ เช่น cholesterol</t>
  </si>
  <si>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</si>
  <si>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72</t>
  </si>
  <si>
    <t>ข้อ 72 เตรียมด้วยวิธีอะไร</t>
  </si>
  <si>
    <t>Beaker method ✅ ใช้กับ cream/ointment ที่ต้องหลอมส่วนประกอบ</t>
  </si>
  <si>
    <t>Levigation ❌ ใช้บดผงยากับของเหลวปริมาณน้อยก่อนผสมเข้าฐาน</t>
  </si>
  <si>
    <t>Dry gum method ❌ ใช้เตรียม emulsion (4 : 2 : 1\)</t>
  </si>
  <si>
    <t>Wet gum method ❌ ใช้เตรียม emulsion</t>
  </si>
  <si>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</si>
  <si>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</si>
  <si>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73</t>
  </si>
  <si>
    <t>จากสูตรตำรับเป็น suspension ชนิดใด</t>
  </si>
  <si>
    <t>Flocculated suspension</t>
  </si>
  <si>
    <t>Deflocculated suspension</t>
  </si>
  <si>
    <t>Flocculated suspension in vehicle</t>
  </si>
  <si>
    <t>Flocculated suspension in structure vehicle</t>
  </si>
  <si>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</si>
  <si>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</si>
  <si>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74</t>
  </si>
  <si>
    <t>ผลิตยาเม็ดด้วย wet granulation ควรใช้ binder ตัวไหน</t>
  </si>
  <si>
    <t>Lactose ❌ เป็น Diluent (filler)</t>
  </si>
  <si>
    <t>Microcrystalline cellulose (MCC) ❌ เป็น Dry binder เหมาะกับ Direct compression/Dry granulation มากกว่า</t>
  </si>
  <si>
    <t>Pregelatinized starch ✅ Binder สำหรับ Wet granulation</t>
  </si>
  <si>
    <t>Magnesium stearate ❌ Lubricant</t>
  </si>
  <si>
    <t>Aerosil 200 (Colloidal silicon dioxide) ❌ Glidant</t>
  </si>
  <si>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</si>
  <si>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78</t>
  </si>
  <si>
    <t>Steroid topical รูปแบบไหนดูดซึมทางผิวหนังได้มากที่สุด</t>
  </si>
  <si>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</si>
  <si>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</si>
  <si>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80</t>
  </si>
  <si>
    <t>สารเคลือบในข้อใดไม่ได้ช่วยให้เม็ดยามีคุณสมบัติ enteric coated tablets</t>
  </si>
  <si>
    <t>Shellac ✅ Enteric coating polymer (natural enteric material)</t>
  </si>
  <si>
    <t>PVP ❌ Binder / film former ทั่วไป ไม่ใช่ enteric coating</t>
  </si>
  <si>
    <t>Diethyl phthalate ⚠️ Plasticizer ที่ใช้ใน film coating รวมถึง enteric coating บางสูตร แต่ไม่ใช่ตัวให้ enteric property</t>
  </si>
  <si>
    <t>HPMCAS ✅ Enteric polymer</t>
  </si>
  <si>
    <t>Methacrylic acid–methyl acrylate copolymer ✅ Enteric polymer</t>
  </si>
  <si>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</si>
  <si>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81</t>
  </si>
  <si>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</si>
  <si>
    <t>ตำรับ A มีแนวโน้มคงตัวดีกว่า B ❌  B มี F และ β สูงกว่า</t>
  </si>
  <si>
    <t>ตำรับ B มีแนวโน้มคงตัวดีกว่า C ✅  B มี sedimentation volume สูงกว่า และ rheology เหมาะกว่า</t>
  </si>
  <si>
    <t>เพิ่มความคงตัวของ C โดยเพิ่ม wetting agent ❌  Wetting agent ช่วยการเปียกของผงยา ไม่ใช่แก้ปัญหา flocculation/rheology</t>
  </si>
  <si>
    <t>เพิ่ม flocculating agent ให้ B เพื่อเพิ่มความคงตัว ❌  B มี degree of flocculation สูงอยู่แล้ว การเพิ่มอาจมากเกินไป</t>
  </si>
  <si>
    <t>เมื่อเขย่า A จะกลับมากระจายได้ดีที่สุด ❌  A เป็น deflocculated มากกว่า → เสี่ยงเกิด cake</t>
  </si>
  <si>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</si>
  <si>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82</t>
  </si>
  <si>
    <t>ข้อใดไม่ควรเป็น flocculating agent</t>
  </si>
  <si>
    <t>Electrolyte ✅ ลดแรงผลักทางไฟฟ้า (zeta potential) ทำให้อนุภาคเข้าหากัน</t>
  </si>
  <si>
    <t>Surfactant ✅ เปลี่ยน wetting และแรงระหว่างอนุภาค</t>
  </si>
  <si>
    <t>Polymer ✅ เกิด bridging ระหว่างอนุภาค เช่น gelatin, CMC</t>
  </si>
  <si>
    <t>Clay ✅ เช่น bentonite ช่วยสร้างโครงสร้างและควบคุมการตกตะกอน</t>
  </si>
  <si>
    <t>Alcohol ❌ ไม่ใช่ flocculating agent ทั่วไป อาจส่งผลต่อการละลาย ความหนืด หรือความคงตัวของระบบ แต่ไม่ได้ใช้เพื่อทำให้เกิด floc</t>
  </si>
  <si>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</si>
  <si>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83</t>
  </si>
  <si>
    <t>ตัวยาประกอบด้วย sodium alginate, calcium carbonate, sodium bicarbonate ข้อใดถูกต้อง</t>
  </si>
  <si>
    <t>ทำให้ตำรับออกฤทธิ์เร็ว ❌ ไม่ใช่จุดเด่นหลักของ alginate เน้นสร้าง raft barrier ป้องกัน reflux</t>
  </si>
  <si>
    <t>Sodium alginate จับกับกรดในทางเดินอาหาร ❌ ไม่ได้ทำหน้าที่เป็น antacid โดยตรง ทำหน้าที่สร้าง gel/raft</t>
  </si>
  <si>
    <t>ถูกต้อง ✅ Alginate \+ Ca²⁺ → gel Bicarbonate/carbonate ช่วย neutralize acid และสร้าง CO₂</t>
  </si>
  <si>
    <t>Sodium bicarbonate ดูดซึมได้ดี แล้วลดกรดได้ ❌ NaHCO₃ ทำหน้าที่ neutralize กรด ไม่ใช่ดูดซึมเพื่อออกฤทธิ์</t>
  </si>
  <si>
    <t>Calcium carbonate เป็น diluent ❌ CaCO₃ เป็น antacid/active ingredient ไม่ใช่สารเพิ่มปริมาณ</t>
  </si>
  <si>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</si>
  <si>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84</t>
  </si>
  <si>
    <t>Freeze Thaw 3 Cycles แล้วพบว่า Emulsion แยกชั้นกันจะแก้ปัญหาอย่างไร</t>
  </si>
  <si>
    <t>เติม Tragacanth ใน O/W cream ✅ เพิ่ม viscosity ของ aqueous phase ลดการเคลื่อนที่และการรวมตัวของหยดน้ำมัน ช่วยเพิ่ม emulsion stability</t>
  </si>
  <si>
    <t>ใช้เครื่อง Ball mill ❌ ใช้ลดขนาดอนุภาคของแข็ง ไม่ใช่แก้ emulsion แยกชั้น</t>
  </si>
  <si>
    <t>เติม Hydroxyethylcellulose ใน W/O cream ❌ HEC เป็น hydrophilic polymer เหมาะกับ aqueous phase ของ O/W มากกว่า ไม่เหมาะกับ W/O</t>
  </si>
  <si>
    <t>เติม NaCl ใน W/O cream ❌ Electrolyte อาจรบกวนความคงตัวของ emulsion</t>
  </si>
  <si>
    <t>เติม Na benzoate ใน W/O cream ❌ เป็น preservative ไม่ใช่ตัวเพิ่มความคงตัวของ emulsion</t>
  </si>
  <si>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</si>
  <si>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93</t>
  </si>
  <si>
    <t>ตำรับ suspensions sedimentation volume \= 0.5, degree of flocculation \= 1 ควรแก้ไขอย่างไร</t>
  </si>
  <si>
    <t>เพิ่มความเข้มข้น SCMC</t>
  </si>
  <si>
    <t>เพิ่ม benzyl alcohol ❌ เป็น preservative</t>
  </si>
  <si>
    <t>เพิ่ม sodium metabisulphite ❌เป็น antioxidant</t>
  </si>
  <si>
    <t>เปลี่ยน saccharine แทน syrup ❌เกี่ยวกับ sweetener ไม่เกี่ยวกับ stability</t>
  </si>
  <si>
    <t>เพิ่ม paraben ❌เป็น preservative</t>
  </si>
  <si>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</si>
  <si>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99</t>
  </si>
  <si>
    <t>เตรียม 5% Atenolol extemporaneous oral suspension ปริมาตร 50 ml จากยาเม็ด Atenolol 25 mg จะต้องใช้ Atenolol กี่เม็ด</t>
  </si>
  <si>
    <t>6 เม็ด คำอธิบาย: (5 g / 100 ml x 50 ml) / 25 mg \= 100 เม็ด โจทย์น่าจะผิด</t>
  </si>
  <si>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</si>
  <si>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108</t>
  </si>
  <si>
    <t>Each teaspoon contains 125 mg of naproxen containing vehicles of sucrose, magnesium aluminium silicate, disodium edetate, F\&amp;D yellow... ถ้าจะเตรียม naproxen suspension ขนาด 100 ml จะต้องใช้ naproxen กี่ g</t>
  </si>
  <si>
    <t>5.5 คำอธิบาย: naproxen 125 mg/ 5ml 100ml \= naproxen 2500 mg \= 2.5g</t>
  </si>
  <si>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</si>
  <si>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109</t>
  </si>
  <si>
    <t>สูตรตำรับ Calamine lotion Active Ingredient: Calamine Inactive ingredient : Hypromellose, xanthan gum, polysorbate 80, methyl paraben, propylparaben ข้อใดคือหน้าที่ของ Hypromellose</t>
  </si>
  <si>
    <t>Humectant</t>
  </si>
  <si>
    <t>Disintegrant คำอธิบาย: Hypromellose (HPMC, Hydroxypropyl methylcellulose) ใน Calamine lotion ทำหน้าที่หลักคือ เพิ่มความหนืด (Viscosity enhancer / Thickening agent) PLE\_CC1\_2564\_Q.pdf</t>
  </si>
  <si>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</si>
  <si>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111</t>
  </si>
  <si>
    <t>สารใดไม่ใช้เป็น stiffening agent สำหรับ topical antiviral cream</t>
  </si>
  <si>
    <t>Beeswax ✅ เป็น stiffening agent</t>
  </si>
  <si>
    <t>PEG 4000 ✅ เป็น stiffening agent ในฐาน PEG ointment</t>
  </si>
  <si>
    <t>Paraffin wax ✅ เป็น stiffening agent</t>
  </si>
  <si>
    <t>Cetostearyl alcohol ✅ เป็น stiffening agent และ co-emulsifier</t>
  </si>
  <si>
    <t>Isopropyl myristate ❌ เป็น Emollient</t>
  </si>
  <si>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</si>
  <si>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115</t>
  </si>
  <si>
    <t>ยาพื้นใดมีผลแบบ occlusive effect ดีที่สุด</t>
  </si>
  <si>
    <t>Water-soluble base</t>
  </si>
  <si>
    <t>Water-removeable base</t>
  </si>
  <si>
    <t>Oleaginous bases</t>
  </si>
  <si>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</si>
  <si>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</si>
  <si>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116</t>
  </si>
  <si>
    <t>การทดสอบตำรับยาครีมแบบ freeze thaw cycle พบว่าตำรับเปลี่ยนแปลงไปโดยมีลักษณะเหลวขึ้นจะแก้ไขปัญหาความไม่คงตัวอย่างไร</t>
  </si>
  <si>
    <t>Tragacanth ใน O/W ✅ เพิ่มความหนืด ช่วยให้ครีมคงตัว</t>
  </si>
  <si>
    <t>Ball mill ❌ ลดขนาดอนุภาค ไม่แก้ครีมเหลว</t>
  </si>
  <si>
    <t>HEC ใน W/O ❌ HEC เหมาะกับ O/W ไม่ใช่ W/O</t>
  </si>
  <si>
    <t>NaCl ❌ electrolyte และอาจทำให้ emulsion ไม่คงตัว</t>
  </si>
  <si>
    <t>Sodium benzoate ❌ เป็นสารกันเสีย ไม่แก้ความหนืด</t>
  </si>
  <si>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</si>
  <si>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117</t>
  </si>
  <si>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</si>
  <si>
    <t>Hard gelatin capsule ❌ ใช้บรรจุผงหรือเม็ดเล็ก (granules/pellets) เป็นหลัก</t>
  </si>
  <si>
    <t>Soft gelatin capsule ✅ บรรจุของเหลว/สารละลายในน้ำมัน และมี glycerin เป็น plasticizer</t>
  </si>
  <si>
    <t>Enteric capsule ❌ ต้องมีสารเคลือบกันกรด เช่น HPMCAS, Eudragit</t>
  </si>
  <si>
    <t>Cream ❌ ไม่มีฐานครีม</t>
  </si>
  <si>
    <t>Ointment ❌ ไม่ใช่ตำรับกึ่งแข็งสำหรับทาผิว</t>
  </si>
  <si>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</si>
  <si>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123</t>
  </si>
  <si>
    <t>HCTZ suspension 50 ml ตั้งทิ้งไว้ 4 wk ได้ F \= 0.5 ควรแก้ไขตำรับอย่างไร</t>
  </si>
  <si>
    <t>เพิ่ม paraben concentrate ❌ Preservative ไม่ช่วยลดการตกตะกอน</t>
  </si>
  <si>
    <t>เพิ่ม sodium carboxymethyl cellulose ✅ Suspensing agent เพิ่มความหนืด ลด sedimentation</t>
  </si>
  <si>
    <t>เปลี่ยน saccharin sodium เป็น syrup ❌ ช่วยเพิ่มความหวาน ไม่ใช่วิธีมาตรฐานแก้ F ต่ำ</t>
  </si>
  <si>
    <t>เพิ่ม sodium metabisulfite ❌ Antioxidant</t>
  </si>
  <si>
    <t>เพิ่มอุณหภูมิ ❌ ยิ่งลดความคงตัวของ suspension</t>
  </si>
  <si>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</si>
  <si>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143</t>
  </si>
  <si>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</si>
  <si>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</si>
  <si>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144</t>
  </si>
  <si>
    <t>จากสูตรตำรับข้อใดถูกต้อง</t>
  </si>
  <si>
    <t>Lanolin stiffening agent ❌ Lanolin เป็น absorption base / emollient ไม่ใช่ stiffening agent</t>
  </si>
  <si>
    <t>Triethanolamine emulsifying agent ❌ Triethanolamine เดี่ยว ๆ เป็น pH adjuster จะเป็น emulsifier ได้เมื่อทำปฏิกิริยากับ stearic acid เกิด TEA stearate</t>
  </si>
  <si>
    <t>Isopropyl myristate humectant ❌ เป็น emollient / skin penetration enhancer</t>
  </si>
  <si>
    <t>Cetostearyl alcohol suspending agent ❌ เป็น stiffening agent และ co-emulsifier</t>
  </si>
  <si>
    <t>Glycerin humectant ✅ ถูกต้อง</t>
  </si>
  <si>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</si>
  <si>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145</t>
  </si>
  <si>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</si>
  <si>
    <t>Opacify</t>
  </si>
  <si>
    <t>Film coat resin คำอธิบาย: PEG 4000 ช่วยให้ฟิล์ม ยืดหยุ่น ไม่เปราะ และลดการแตกร้าว (film cracking) จึงทำหน้าที่เป็น plasticizer</t>
  </si>
  <si>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</si>
  <si>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146</t>
  </si>
  <si>
    <t>ในสูตรตำรับยาครีม หากตำรับมีลักษณะเหลวควรเพิ่มสารใดในตำรับ</t>
  </si>
  <si>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</si>
  <si>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</si>
  <si>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161</t>
  </si>
  <si>
    <t>ตำรับ hydrocortisone cream 0.1% มีส่วนประกอบ ดังนี้ cetyl alcohol, stearyl alcohol, propylene glycol, sodium lauryl sulphate, BHT, cream base consisting of purified water สารใดในตำรับที่ทำหน้าที่เป็น stiffening agent</t>
  </si>
  <si>
    <t>BHT ❌ Antioxidant ป้องกัน oxidation</t>
  </si>
  <si>
    <t>Glycerin ❌ Humectant (แต่ไม่มีในสูตรที่ให้)</t>
  </si>
  <si>
    <t>Cetyl alcohol ✅ Stiffening agent / viscosity enhancer</t>
  </si>
  <si>
    <t>Propylene glycol ❌ Humectant / cosolvent</t>
  </si>
  <si>
    <t>Sodium lauryl sulphate ❌ Emulsifier / surfactant</t>
  </si>
  <si>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</si>
  <si>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166</t>
  </si>
  <si>
    <t>ตำรับ calamine lotion ตัวยาเป็นน้ำแขวนตะกอน เขย่ายาแล้วไม่คืนกลับเมื่อตั้งทิ้งไว้ ลักษณะดังกล่าวเรียกว่า</t>
  </si>
  <si>
    <t>Caking ✅ ตะกอนจับแน่น กลับคืนไม่ได้</t>
  </si>
  <si>
    <t>Cracking ❌ รอยแตกของเม็ดยาหรือฟิล์มเคลือบ</t>
  </si>
  <si>
    <t>Breaking ❌ การแยกตัวของ emulsion อย่างถาวร</t>
  </si>
  <si>
    <t>Creaming ❌ หยดของเหลวใน emulsion ลอยขึ้น/ตกลง แต่ยังกลับคืนได้เมื่อเขย่า</t>
  </si>
  <si>
    <t>Coalescence ❌ หยด emulsion รวมตัวกันเป็นหยดใหญ่ (นำไปสู่ breaking)</t>
  </si>
  <si>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</si>
  <si>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2564 ข้อ 167</t>
  </si>
  <si>
    <t>Topical steroid รูปแบบไหนดูดซึมทางผิวหนังได้มากที่สุด ต้นฉบับ: Day 2 ข้อ 87</t>
  </si>
  <si>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</si>
  <si>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</si>
  <si>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15</t>
  </si>
  <si>
    <t>ข้อใดไม่จำเป็นในการควบคุมคุณภาพการผลิต soft capsule ต้นฉบับ: Day 1 ข้อ 115</t>
  </si>
  <si>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</si>
  <si>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</si>
  <si>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25</t>
  </si>
  <si>
    <t>ข้อใดไม่ใช่ส่วนประกอบของ soft capsule ต้นฉบับ: Day 2 ข้อ 32</t>
  </si>
  <si>
    <t>Lake color</t>
  </si>
  <si>
    <t>PEG 400</t>
  </si>
  <si>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</si>
  <si>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</si>
  <si>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32</t>
  </si>
  <si>
    <t>ข้อใดไม่ใช่วิธีการควบคุมคุณภาพของยา Ibuprofen ที่เป็น soft gelatin ต้นฉบับ: Day 2 ข้อ 33</t>
  </si>
  <si>
    <t>ปริมาณการบรรจุ</t>
  </si>
  <si>
    <t>การละลาย</t>
  </si>
  <si>
    <t>การแตกตัว</t>
  </si>
  <si>
    <t>ระยะเวลาที่ปลดปล่อยนาน</t>
  </si>
  <si>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</si>
  <si>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</si>
  <si>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33</t>
  </si>
  <si>
    <t>ผลิตยาเม็ดด้วย wet granulation ควรใช้ binder ตัวไหน ต้นฉบับ: Day 2 ข้อ 70</t>
  </si>
  <si>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</si>
  <si>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</si>
  <si>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34</t>
  </si>
  <si>
    <t>สารเคลือบในข้อใดไม่ได้ช่วยให้เม็ดยามีคุณสมบัติ enteric coated tablets ต้นฉบับ: Day 2 ข้อ 90</t>
  </si>
  <si>
    <t>Diethyl phthalate</t>
  </si>
  <si>
    <t>Hydroxypropyl methylcellulose Acetate Succinate</t>
  </si>
  <si>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</si>
  <si>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</si>
  <si>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36</t>
  </si>
  <si>
    <t>Freeze Thaw 3 Cycles แล้วพบว่า ครีมแยกชั้นกันจะแก้ปัญหาอย่างไร ต้นฉบับ: Day 1 ข้อ 77</t>
  </si>
  <si>
    <t>เติม Tragacanth ใน O/W cream</t>
  </si>
  <si>
    <t>ใช้เครื่อง Ball mill</t>
  </si>
  <si>
    <t>เติม hydroxyethylcellulose ใน W/O cream</t>
  </si>
  <si>
    <t>เติม NaCl ใน W/O cream</t>
  </si>
  <si>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</si>
  <si>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</si>
  <si>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42</t>
  </si>
  <si>
    <t>Magnesium aluminium silicate ในตำรับนี้ทำหน้าที่อะไร ต้นฉบับ: Day 1 ข้อ 90</t>
  </si>
  <si>
    <t>flocculating agent</t>
  </si>
  <si>
    <t>viscosity-increasing agent</t>
  </si>
  <si>
    <t>suspending agent</t>
  </si>
  <si>
    <t>wetting agent</t>
  </si>
  <si>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</si>
  <si>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</si>
  <si>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44</t>
  </si>
  <si>
    <t>เตรียม 0.2% Atenolol extemporaneous oral suspension ปริมาตร 50 ml จากยาเม็ด Atenolol 25 mg จะต้องใช้ Atenolol กี่เม็ด ต้นฉบับ: Day 1 ข้อ 111</t>
  </si>
  <si>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</si>
  <si>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</si>
  <si>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45</t>
  </si>
  <si>
    <t>Suspensions sedimentation volume \= 0.5 degree of flocculation \= 1 ควรแก้ไขอย่างไร ต้นฉบับ: Day 1 ข้อ 112</t>
  </si>
  <si>
    <t>เพิ่มความเข้มข้น benzyl alcohol</t>
  </si>
  <si>
    <t>เพิ่มความเข้มข้น sodium metabisulphite</t>
  </si>
  <si>
    <t>เปลี่ยนไปใช้ saccharin แทน syrup</t>
  </si>
  <si>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</si>
  <si>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</si>
  <si>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46</t>
  </si>
  <si>
    <t>สูตรตำรับ Calamine lotion ต้นฉบับ: Day 1 ข้อ 113 Active Ingredient: Calamine Inactive ingredient: Hypromellose, xanthan gum, polysorbate 80, methyl paraben, propylparaben ข้อใดคือหน้าที่ของ Hypromellose</t>
  </si>
  <si>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</si>
  <si>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</si>
  <si>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47</t>
  </si>
  <si>
    <t>ยารูปแบบ topical suspension ควรมีการไหลแบบไหน ต้นฉบับ: Day 1 ข้อ 114</t>
  </si>
  <si>
    <t>Plastic กับ thixotropic</t>
  </si>
  <si>
    <t>Plastic กับ dilatant</t>
  </si>
  <si>
    <t>Pseudoplastic กับ thixotropic</t>
  </si>
  <si>
    <t>Pseudoplastic กับ dilatant</t>
  </si>
  <si>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</si>
  <si>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</si>
  <si>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48</t>
  </si>
  <si>
    <t>ยาขี้ผึ้งชนิดใดเหมาะกับแผลติดเชื้อมีหนอง ต้นฉบับ: Day 2 ข้อ 39</t>
  </si>
  <si>
    <t>W/O ointment</t>
  </si>
  <si>
    <t>O/W ointment</t>
  </si>
  <si>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</si>
  <si>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</si>
  <si>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49</t>
  </si>
  <si>
    <t>เตรียมด้วยวิธีอะไร ต้นฉบับ: Day 2 ข้อ 41</t>
  </si>
  <si>
    <t>Beaker method</t>
  </si>
  <si>
    <t>Levigation</t>
  </si>
  <si>
    <t>Dry gum method</t>
  </si>
  <si>
    <t>Wet gum method</t>
  </si>
  <si>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</si>
  <si>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</si>
  <si>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51</t>
  </si>
  <si>
    <t>รูปแบบยาทาที่เหมาะสมสำหรับทาผิวหญิงที่หน้ามันเป็นสิว ต้นฉบับ: Day 2 ข้อ 45</t>
  </si>
  <si>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</si>
  <si>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</si>
  <si>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52</t>
  </si>
  <si>
    <t>น้ำที่ใช้ในกระบวนการผลิตยาทาเฉพาะที่แบบเจล คือข้อใด ต้นฉบับ: Day 2 ข้อ 48</t>
  </si>
  <si>
    <t>Potable water</t>
  </si>
  <si>
    <t>Sterile purified water</t>
  </si>
  <si>
    <t>Sterile water for irrigation</t>
  </si>
  <si>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</si>
  <si>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</si>
  <si>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54</t>
  </si>
  <si>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</si>
  <si>
    <t>ตำรับ A มีแนวโน้มคงตัวดีกว่าตำรับ B</t>
  </si>
  <si>
    <t>ตำรับ B มีแนวโน้มคงตัวดีกว่าตำรับ C</t>
  </si>
  <si>
    <t>เพิ่มความคงตัวของตำรับ C ได้โดยการเพิ่มปริมาณ wetting agent</t>
  </si>
  <si>
    <t>เพิ่ม flocculating agent ให้ตำรับ B เพื่อเพิ่มความคงตัว</t>
  </si>
  <si>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</si>
  <si>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</si>
  <si>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55</t>
  </si>
  <si>
    <t>ตัวยาประกอบด้วย sodium alginate, calcium carbonate,sodium bicarbonate ข้อใดถูกต้อง ต้นฉบับ: Day 2 ข้อ 94</t>
  </si>
  <si>
    <t>ทำให้ตำรับออกฤทธิ์เร็ว</t>
  </si>
  <si>
    <t>Sodium alginate จับกับกรดในทางเดินอาหาร แล้วเป็นเจลกันไม่ให้อาหารขึ้นไปยังหลอดอาหาร</t>
  </si>
  <si>
    <t>Sodium alginate เพิ่ม pH ในตำรับ</t>
  </si>
  <si>
    <t>Sodium bicarbonate ดูดซึมได้ดี</t>
  </si>
  <si>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</si>
  <si>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</si>
  <si>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2563 ข้อ 57</t>
  </si>
  <si>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</si>
  <si>
    <t>Sodium saccharin, PVP K30 | คำอธิบาย Effervescent base คือคู่ของสารที่ทำปฏิกิริยากันเมื่อสัมผัสน้ำแล้วให้แก๊ส CO₂ ต้องประกอบด้วย 2 องค์ประกอบเสมอ</t>
  </si>
  <si>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</si>
  <si>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</si>
  <si>
    <t>PEG 8000</t>
  </si>
  <si>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</si>
  <si>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</si>
  <si>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สารใดไม่ใช้เป็น stiffening agent ของสูตรตำรับยาครีม</t>
  </si>
  <si>
    <t>Cytostearyl alcohol</t>
  </si>
  <si>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</si>
  <si>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8</t>
  </si>
  <si>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</si>
  <si>
    <t>[แนบรูป: ข้อสอบ Product ปี 2561 รหัสรูปภาพ image103]</t>
  </si>
  <si>
    <t>เติม tragacanth ในตำรับ O/W</t>
  </si>
  <si>
    <t>เติม sodium chloride ในตำรับ O/W</t>
  </si>
  <si>
    <t>เติม sodium benzoate ในตำรับ O/W</t>
  </si>
  <si>
    <t>ใช้เครื่อง ball mill ในการเตรียมตำรับ O/W</t>
  </si>
  <si>
    <t>เติม hydroxyethyl cellulose ในตำรับ O/W</t>
  </si>
  <si>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</si>
  <si>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10</t>
  </si>
  <si>
    <t>ส่วนประกอบของ isotretinoinจากตำรับเป็นยาในรูปแบบใด [แนบรูป: ข้อสอบ Product ปี 2561 รหัสรูปภาพ image105]</t>
  </si>
  <si>
    <t>[แนบรูป: ข้อสอบ Product ปี 2561 รหัสรูปภาพ image105]</t>
  </si>
  <si>
    <t>Enteric capsule</t>
  </si>
  <si>
    <t>Hard gelatin capsule</t>
  </si>
  <si>
    <t>Soft gelatin capsule</t>
  </si>
  <si>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</si>
  <si>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16</t>
  </si>
  <si>
    <t>HCTZ suspension 50 ml ตั้งทิ้งไว้ 4 สัปดาห์ได้ F \= 0.5 และ β=1 ต้องแก้ไขตำรับอย่างไร</t>
  </si>
  <si>
    <t>เพิ่ม sodium metabisulfite</t>
  </si>
  <si>
    <t>เพิ่ม paraben concentration</t>
  </si>
  <si>
    <t>เปลี่ยน saccharin sodium เป็น syrup</t>
  </si>
  <si>
    <t>เพิ่ม sodium carboxyl methyl cellulose</t>
  </si>
  <si>
    <t>เป็นตำรับที่มีความคงตัวอยู่แล้ว ไม่ต้องแก้ไขสูตรตำรับแต่อย่างใด</t>
  </si>
  <si>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</si>
  <si>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45</t>
  </si>
  <si>
    <t>จากสูตรตำรับข้อใดถูกต้อง (สูตรตำรับยา A ประกอบไปด้วย Glycerin, Lanolin, White wax, Stearic acid, Purified water, Triethanolamine, Isopropyl myristate, Cetostearyl alcohol)</t>
  </si>
  <si>
    <t>Glycerin ทำหน้าที่เป็น humectant</t>
  </si>
  <si>
    <t>Lanolin ทำหน้าที่เป็น stiffening agent</t>
  </si>
  <si>
    <t>Isopropyl myristate ทำหน้าที่เป็น humectant</t>
  </si>
  <si>
    <t>Triethanolamine ทำหน้าที่เป็น emulsifying agent</t>
  </si>
  <si>
    <t>Cetosteryl alcohol ทำหน้าที่เป็น suspending agent</t>
  </si>
  <si>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</si>
  <si>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48</t>
  </si>
  <si>
    <t>หากต้องการเตรียมยา suspension โดยที่ผงยามีประจุ \+ flocculation agent และ suspending agent ควรจะมีประจุอะไร</t>
  </si>
  <si>
    <t>\+,+</t>
  </si>
  <si>
    <t>\+,-</t>
  </si>
  <si>
    <t>-,+</t>
  </si>
  <si>
    <t>-,-</t>
  </si>
  <si>
    <t>\+, ไม่มีประจุ</t>
  </si>
  <si>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</si>
  <si>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56</t>
  </si>
  <si>
    <t>จากสูตรตำรับข้างต้นใช้วิธีการเตรียมแบบใด (สูตรตำรับ: Isopropyl myristate, Cetostearyl alcohol, Lanolin, Stearic acid, White wax, NaOH, Glycerin, Purified water qs to 100 ml)</t>
  </si>
  <si>
    <t>In situ</t>
  </si>
  <si>
    <t>Bottle method</t>
  </si>
  <si>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</si>
  <si>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59</t>
  </si>
  <si>
    <t>กรณีถ้าส่องด้วยกล้องจุลทรรศน์ (optical microscope) จะเห็นลักษณะของอนุภาคอย่างไร</t>
  </si>
  <si>
    <t>อนุภาค colloidal</t>
  </si>
  <si>
    <t>อนุภาค oil phase</t>
  </si>
  <si>
    <t>อนุภาค suspension</t>
  </si>
  <si>
    <t>อนุภาค water phase</t>
  </si>
  <si>
    <t>ไม่เห็นอนุภาคเพราะเป็น molecular dispersion</t>
  </si>
  <si>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</si>
  <si>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60</t>
  </si>
  <si>
    <t>ข้อใดผิดเกี่ยวกับ aerosol</t>
  </si>
  <si>
    <t>สารขับดันมีผลต่อลักษณะของขนาดอนุภาค</t>
  </si>
  <si>
    <t>ผลิตภัณฑ์มีในลักษณะปิดสนิท สามารถเก็บที่ใดก็ได้</t>
  </si>
  <si>
    <t>เลือก valve ให้เหมาะสมเพื่อกำหนดลักษณะของผงยา</t>
  </si>
  <si>
    <t>ขนาดอนุภาคมีผลต่อตำแหน่งเป้าหมายในการออกฤทธิ์</t>
  </si>
  <si>
    <t>เตรียมอยู่ในรูป solution หรือ suspension หรือ emulsion</t>
  </si>
  <si>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</si>
  <si>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75</t>
  </si>
  <si>
    <t>ตำรับเกิด creaming rate เร็ว เกิดจากอะไร เมื่อพิจารณาจาก Stroke's law</t>
  </si>
  <si>
    <t>นำตำรับไปไว้ที่อุณหภูมิสูง</t>
  </si>
  <si>
    <t>เพิ่มความหนืดของอนุภาคภายใน</t>
  </si>
  <si>
    <t>ลดความแตกต่างระหว่างอนุภาค</t>
  </si>
  <si>
    <t>ใช้ emulsifier ที่มีคุณสมบัติช่วยลดขนาดอนุภาคอิมัลชันได้</t>
  </si>
  <si>
    <t>นำตำรับไปลดขนาดอนุภาคด้วย High pressure homogenizer</t>
  </si>
  <si>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</si>
  <si>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89</t>
  </si>
  <si>
    <t>ถ้าเตรียมตำรับ piroxicam gel ควรใช้ gelling agent ตัวใดที่เมื่อใช้ด่างแล้วจะทำให้เจลที่ได้มีลักษณะใส</t>
  </si>
  <si>
    <t>Sodium carboxyl methylcellulose</t>
  </si>
  <si>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</si>
  <si>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95</t>
  </si>
  <si>
    <t>ตำรับ budesonide nasal spray รูปแบบ suspension ประกอบด้วย Microcrystalline cellulose, Carboxymethyl cellulose sodium, Dextrose anhydrous, Polysorbate 80, Disodium edetate, Purified water, HCl สารใดทำหน้าที่เป็น wetting agent</t>
  </si>
  <si>
    <t>Disodium edetate</t>
  </si>
  <si>
    <t>Carboxymethyl cellulose sodium</t>
  </si>
  <si>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</si>
  <si>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2561 ข้อ 112</t>
  </si>
  <si>
    <t>Phynetoin SR มีส่วนผสมคือ phenytoin, lactose, magnesium, sugar แต่การทดสอบพบว่ามีปริมาณตัวยาในแต่ละเม็ดไม่สม่ำเสมอควรเติมสารช่วยอะไร</t>
  </si>
  <si>
    <t>Polyvinyl pyrrolidone</t>
  </si>
  <si>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</si>
  <si>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2559 ข้อ 7</t>
  </si>
  <si>
    <t>สารเพิ่มความยืดหยุ่น (plasticizer) ใน soft gelatin capsule คือสารใด</t>
  </si>
  <si>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</si>
  <si>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2559 ข้อ 5</t>
  </si>
  <si>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</si>
  <si>
    <t>HPMC (Hydroxypropyl methylcellulose)</t>
  </si>
  <si>
    <t>HPMCP (Hydroxypropyl methylcellulose phthalate)</t>
  </si>
  <si>
    <t>EC (Ethylcellulose)</t>
  </si>
  <si>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</si>
  <si>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2558 ข้อ 17</t>
  </si>
  <si>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</si>
  <si>
    <t>Alginate</t>
  </si>
  <si>
    <t>Xanthan gum</t>
  </si>
  <si>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</si>
  <si>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2558 ข้อ 24</t>
  </si>
  <si>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</si>
  <si>
    <t>Carageenan</t>
  </si>
  <si>
    <t>Gelatin B</t>
  </si>
  <si>
    <t>Tragacanth</t>
  </si>
  <si>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</si>
  <si>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2558 ข้อ 25</t>
  </si>
  <si>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</si>
  <si>
    <t>2.00 g</t>
  </si>
  <si>
    <t>2.38 g</t>
  </si>
  <si>
    <t>2.40 g</t>
  </si>
  <si>
    <t>2.42 g</t>
  </si>
  <si>
    <t>2.50 g</t>
  </si>
  <si>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</si>
  <si>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2558 ข้อ 26</t>
  </si>
  <si>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</si>
  <si>
    <t>Aerosol Suspension</t>
  </si>
  <si>
    <t>Aerosol Emulsion</t>
  </si>
  <si>
    <t>Aerosol Solution</t>
  </si>
  <si>
    <t>Aerosol Powder</t>
  </si>
  <si>
    <t>Liposomal Aerosol</t>
  </si>
  <si>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</si>
  <si>
    <t>ข้อสอบจริง Product ปี 2558 ข้อ 38</t>
  </si>
  <si>
    <t>Brown mixture 60 ml ขายได้ในร้านขายยาหรือไม่</t>
  </si>
  <si>
    <t>ขายไม่ได้เนื่องจากเป็นวัตถุออกฤทธิ์ต่อจิตและประสาท</t>
  </si>
  <si>
    <t>ขายได้แต่ต้องมีใบสั่งแพทย์เท่านั้น</t>
  </si>
  <si>
    <t>ขายได้โดยเภสัชกรเท่านั้น</t>
  </si>
  <si>
    <t>ขายได้โดยเป็นยาสามัญประจำบ้าน</t>
  </si>
  <si>
    <t>ขายได้โดยเป็นยาที่ไม่ใช่ยาอันตรายและยาบรรจุเสร็จ</t>
  </si>
  <si>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</si>
  <si>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เภสัชภัณฑ์รูปแบบกึ่งแข็ง (Semisolid dosage form)</t>
  </si>
  <si>
    <t>ลักษณะความไม่คงสภาพที่พบส่วนใหญ่ของยาขี้ผึ้ง ยกเว้นข้อใด</t>
  </si>
  <si>
    <t>น้ำหนักลดลง</t>
  </si>
  <si>
    <t>มีการเปลี่ยนแปลงของสีและกลิ่น</t>
  </si>
  <si>
    <t>ความข้นหนืดเปลี่ยนไป</t>
  </si>
  <si>
    <t>มีน้ำมันออกมาจากยาขี้ผึ้ง</t>
  </si>
  <si>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</si>
  <si>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ให้ข้อมูลการทำdissolution test มีacid stage กับbuffer stage ถามเกี่ยวกับยาที่ใช้การทดสอบแบบนี้ ตัวเลือก</t>
  </si>
  <si>
    <t>Biopharmaceutics &amp; Dissolution</t>
  </si>
  <si>
    <t>In Vitro Dissolution Apparatus 1 (Basket, 100 rpm)</t>
  </si>
  <si>
    <t>In Vitro Dissolution Apparatus 2 (Paddle, 50 rpm)</t>
  </si>
  <si>
    <t>Higuchi Matrix Release Kinetic model</t>
  </si>
  <si>
    <t>First-Order Drug Release Kinetics</t>
  </si>
  <si>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</si>
  <si>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Dissolution testing</t>
  </si>
  <si>
    <t>PLE-CC1 ปี 2566 Day 1 ข้อ 25</t>
  </si>
  <si>
    <t>ให้โครงสร้าง furosemide มา ถามว่าเติมสารอะไรช่วยเพิ่มการละลายของยา</t>
  </si>
  <si>
    <t>NaHCO3</t>
  </si>
  <si>
    <t>HCl</t>
  </si>
  <si>
    <t>สารชื่อยาวหน่อย bu สักอย่าง มั้ง</t>
  </si>
  <si>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</si>
  <si>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PLE_CC1_2564_All_Key ข้อ 20</t>
  </si>
  <si>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</si>
  <si>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</si>
  <si>
    <t>BCS Class II (Low Solubility, High Permeability)</t>
  </si>
  <si>
    <t>BCS Class III (High Solubility, Low Permeability)</t>
  </si>
  <si>
    <t>BCS Class IV (Low Solubility, Low Permeability)</t>
  </si>
  <si>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</si>
  <si>
    <t>Diffusion &amp; Fick's laws</t>
  </si>
  <si>
    <t>PLE_CC1_2564_All_Key ข้อ 36</t>
  </si>
  <si>
    <t>ยา simvastatin มีค่าการละลายต่ำต้องเติมส่วนประกอบใดในตำรับ X ↳monss Monitorsionin finis e eein</t>
  </si>
  <si>
    <t>Croscamellose sodium</t>
  </si>
  <si>
    <t>Sodium luaryl sulfate</t>
  </si>
  <si>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</si>
  <si>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</si>
  <si>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77 (PLE_CC1_2562_Key.md)</t>
  </si>
  <si>
    <t>หากต้องการลดความเข้มข้นของยาในเลือดให้เหลือ 8 mcg/ml ต้องให้ยาในขนาดเท่าใด X Tsin127do ข้อมูล carbazepine bioavailability = 0.8, salt coefficient = 1, clearance = 128 mg/d</t>
  </si>
  <si>
    <t>800 mg/d</t>
  </si>
  <si>
    <t>1000 mg/d</t>
  </si>
  <si>
    <t>1024 mg/d</t>
  </si>
  <si>
    <t>1280 mg/d</t>
  </si>
  <si>
    <t>1400 mg/d</t>
  </si>
  <si>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</si>
  <si>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102 (PLE_CC1_2562_Key.md)</t>
  </si>
  <si>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</si>
  <si>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</si>
  <si>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 monograph ของยา carvedilol ขอใดคือเครื่องมือที่ใชในการ ทดสอบหัวขอการละลาย</t>
  </si>
  <si>
    <t>Reciprocating cylinder</t>
  </si>
  <si>
    <t>Paddle apparatus</t>
  </si>
  <si>
    <t>Basket apparatus</t>
  </si>
  <si>
    <t>Flow-through cell</t>
  </si>
  <si>
    <t>Cell cylinder apparatus</t>
  </si>
  <si>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</si>
  <si>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 (PLE_CC1_2561_Key.md)</t>
  </si>
  <si>
    <t>จากขอ 9 dissolution medium ควรจะมีอุณหภูมิเท!าใด</t>
  </si>
  <si>
    <t>20oC ± 0.5</t>
  </si>
  <si>
    <t>20oC ± 2.0</t>
  </si>
  <si>
    <t>25oC ± 0.5</t>
  </si>
  <si>
    <t>25oC ± 2.0</t>
  </si>
  <si>
    <t>37oC ± 0.5 e</t>
  </si>
  <si>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</si>
  <si>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 (PLE_CC1_2561_Key.md)</t>
  </si>
  <si>
    <t>ให(ข้อมูลการละลายยา มาถามว.าควรทำตำหรับรูปแบบใด</t>
  </si>
  <si>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</si>
  <si>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63 (PLE_CC1_2561_Key.md)</t>
  </si>
  <si>
    <t>หากต(องการเปÅดหนังสือเพื่อค(นคว(า เรื่อง bioequivalence</t>
  </si>
  <si>
    <t>Pharmacotherapy</t>
  </si>
  <si>
    <t>Drug interaction fact</t>
  </si>
  <si>
    <t>Drug fact and comparison</t>
  </si>
  <si>
    <t>United states pharmacopeia</t>
  </si>
  <si>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</si>
  <si>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68 (PLE_CC1_2561_Key.md)</t>
  </si>
  <si>
    <t>การท้า Dissolution test ของ Paracetamol ให้ USP มา บอกว่า Tolerance Q = 80% ภายใน 30 นาที โดยให้ท้าใน Phosphate medium pH 5.8 ใช้ UV spec ในการวิเคราะห์ ถามว่าข้อใดถูก</t>
  </si>
  <si>
    <t>Apparatus ใช้ Basket</t>
  </si>
  <si>
    <t>ใช้ Phosphate buffe pH 5.8 ± 2.0</t>
  </si>
  <si>
    <t>ละลายให้เสร็จภายใน 60 นาที</t>
  </si>
  <si>
    <t>ใช้ Liquid chromatography ในการวิเคราะห์</t>
  </si>
  <si>
    <t>ผลวิเคราะห์ได้ว่ายา 6 เม็ด แตกตัวภายใน 15 นาที โดยมีตัวยามากกว่า 425 mg ทุกเม็ด แสดง ว่าผ่าน รวมโดย Phongsathorn Phlaisaithong Rx 9 UP 9 | P a g e</t>
  </si>
  <si>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</si>
  <si>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การทำ Dissolution test ของ Paracetamol ให้ USP มา บอกว่า Tolerance Q = 80% ภายใน 30 นาที โดยให้ทำใน Phosphate medium pH 5.8 ใช้ UV spec ในการวิเคราะห์ ถามว่าข้อใดถูก</t>
  </si>
  <si>
    <t>ใช้ Phosphate buffer pH 5.8 ± 2.0</t>
  </si>
  <si>
    <t>ผลวิเคราะห์ได้ว่ายา 6 เม็ด แตกตัวภายใน 15 นาที โดยมีตัวยามากกว่า 425 mg ทุกเม็ด แสดงว่าผ่าน</t>
  </si>
  <si>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</si>
  <si>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เทคนิคใดเป็นการเปลี่ยนแปลงคุณสมบัติทางกายภาพของยา เพื่อเพิ่มคุณสมบัติการละลายน้ำ</t>
  </si>
  <si>
    <t>การลดขนาดอนุภาค (Particle size reduction)</t>
  </si>
  <si>
    <t>การปรับเปลี่ยนรูปผลึกยา (Modification of the crystal)</t>
  </si>
  <si>
    <t>การกระจายยาในตัวพา (Drug dispersion in carriers)</t>
  </si>
  <si>
    <t>การทำสารประกอบเชิงซ้อน (Complexation)</t>
  </si>
  <si>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</si>
  <si>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95 (Pharmtutor_2024_Set2.md)</t>
  </si>
  <si>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</si>
  <si>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</si>
  <si>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</si>
  <si>
    <t>Zero-Order Sustained Release Kinetics</t>
  </si>
  <si>
    <t>Fickian Diffusion Concentration Gradient</t>
  </si>
  <si>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</si>
  <si>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91 (PLE_CC1_2557.md)</t>
  </si>
  <si>
    <t>มีการละลายน ้าสูง มี permeability สูง</t>
  </si>
  <si>
    <t>BCS Class I (High Solubility, High Permeability)</t>
  </si>
  <si>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</si>
  <si>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BCS Classification</t>
  </si>
  <si>
    <t>มีการละลายน ้าสูง มี permeability ต ่า</t>
  </si>
  <si>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</si>
  <si>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มีการละลายน ้าต ่า มี permeability สูง</t>
  </si>
  <si>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</si>
  <si>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มีการละลายน ้าต ่า มี permeability ต ่า</t>
  </si>
  <si>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</si>
  <si>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 A ละลายดีกว่ายา B เพราะสูตรที่มี Mg stearate มากกว่า ช่วยให้การละลายดีขึ้น</t>
  </si>
  <si>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</si>
  <si>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</si>
  <si>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</si>
  <si>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เพิ่มการละลายน ้า</t>
  </si>
  <si>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</si>
  <si>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</si>
  <si>
    <t>ผ่าน S2</t>
  </si>
  <si>
    <t>ผ่าน S3</t>
  </si>
  <si>
    <t>ผ่าน S1 แต่ไม่ผ่าน S2</t>
  </si>
  <si>
    <t>ไม่ผ่าน S2 แต่ผ่าน S3 70.ยาในข้อใดต่อไปนี้ที่ไม่สามารถเบิกได้ด้วยสิทธิข้าราชการ</t>
  </si>
  <si>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</si>
  <si>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69 (PLE_CC1_2554 SET1.md)</t>
  </si>
  <si>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</si>
  <si>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</si>
  <si>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</si>
  <si>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มีระยะเวลาที่ยาเริ่มออกฤทธิ์ช้าเนื่องจากโครงสร้างมีขนาดใหญุใช้ เวลานานในการละลาย(ก)</t>
  </si>
  <si>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</si>
  <si>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</si>
  <si>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</si>
  <si>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</si>
  <si>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</si>
  <si>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</si>
  <si>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</si>
  <si>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</si>
  <si>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</si>
  <si>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Bioavailability</t>
  </si>
  <si>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</si>
  <si>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</si>
  <si>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</si>
  <si>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เพิ่มการละลายน้ำ</t>
  </si>
  <si>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</si>
  <si>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เพิ่มการละลายใน medium</t>
  </si>
  <si>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</si>
  <si>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</si>
  <si>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 pyrazinamide มีการละลายต่ำควรเติมสารใดเพิ่มในตำรับเพื่อแก$ไขป[ญหานี้</t>
  </si>
  <si>
    <t>Calcium dihydrogen phosphate</t>
  </si>
  <si>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</si>
  <si>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การละลายและการดูดซึมมีผลตGอการระยะเวลาการออกฤทธิ์ที่นานขึ้นของตัวยา</t>
  </si>
  <si>
    <t>passive diffusion</t>
  </si>
  <si>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</si>
  <si>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ผ่าน Dissolution</t>
  </si>
  <si>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</si>
  <si>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</si>
  <si>
    <t>จาก USP (การทำ Dissolution test ของ Paracetamol) ข้อใดถูกต้อง</t>
  </si>
  <si>
    <t>ยาจะละลายเสร็จภายใน 60 นาที</t>
  </si>
  <si>
    <t>หากผลการวิเคราะห์พบว่า ยา 6 เม็ด แตกตัวภายใน 15 นาที โดยมีตัวยามากกว่า 425 mg ทุกเม็ดแสดงว่าผ่านการวิเคราะห์</t>
  </si>
  <si>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</si>
  <si>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ตำรับ hard gelatin capsule ไม่ต้องทำการทดสอบอะไร</t>
  </si>
  <si>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</si>
  <si>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2567 ข้อ 14</t>
  </si>
  <si>
    <t>การทดอบข้อใดต่อไปนี้ ไม่ได้มีข้อกำหนดเกณฑ์ผ่านที่ชัดเจนใน USP</t>
  </si>
  <si>
    <t>uniformity of dosage units</t>
  </si>
  <si>
    <t>dissolution</t>
  </si>
  <si>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</si>
  <si>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2567 ข้อ 31</t>
  </si>
  <si>
    <t>(ปี 2566, Day 1 ข้อ 34\) (เรื่อง: สารเคลือบฟิล์ม Enteric-coated) ⚠️ สารที่ใช้ทำ film เคลือบยา enteric-coated คือข้อใด</t>
  </si>
  <si>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</si>
  <si>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</si>
  <si>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2566 ข้อ 6</t>
  </si>
  <si>
    <t>(ปี 2566, Day 1 ข้อ 46\) (เรื่อง: การทดสอบยาเม็ดเคลือบน้ำตาล - Sugar-coated) ยาสักอย่าง เป็น sugar-coated ไม่ต้องทดสอบอะไร</t>
  </si>
  <si>
    <t>disintegration</t>
  </si>
  <si>
    <t>weight variation</t>
  </si>
  <si>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</si>
  <si>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</si>
  <si>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2566 ข้อ 8</t>
  </si>
  <si>
    <t>(ปี 2566, Day 2 ข้อ 89\) (เรื่อง: Dissolution S1 Acceptance - Acetaminophen) Performance test ของ Acetaminophen tablet (ไม่ใช่ chewable) ขั้น S1 acceptance criteria คือเท่าไหร่</t>
  </si>
  <si>
    <t>75%</t>
  </si>
  <si>
    <t>80%</t>
  </si>
  <si>
    <t>85%</t>
  </si>
  <si>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</si>
  <si>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2566 ข้อ 35</t>
  </si>
  <si>
    <t>ISDN Sublingual ไม่ต้องทดสอบเรื่องอะไร</t>
  </si>
  <si>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</si>
  <si>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</si>
  <si>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2565 ข้อ 4</t>
  </si>
  <si>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</si>
  <si>
    <t>hardness</t>
  </si>
  <si>
    <t>microbial limit</t>
  </si>
  <si>
    <t>particle size กรณีที่ 2 ผู้ป่วยชาย 50 ปีสูบบุหรี่ 25 มวนต่อวัน ติดต่อกัน 20 ปี</t>
  </si>
  <si>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</si>
  <si>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2565 ข้อ 5</t>
  </si>
  <si>
    <t>ข้อใดเป็นเกณฑ์ dissolution ของ enteric coated tablet ที acid stage 1</t>
  </si>
  <si>
    <t>ยาแต่ละเม็ดต้องละลายไม่เกิน 10%</t>
  </si>
  <si>
    <t>ยาแต่ละเม็ดละลายไม่น้อยกว่า Q+5</t>
  </si>
  <si>
    <t>ยาแต่ละเม็ดละลายไม่น้อยกว่า Q ???</t>
  </si>
  <si>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</si>
  <si>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2565 ข้อ 76</t>
  </si>
  <si>
    <t>ยา A เป็นยา BCS class 2 ข้อใดกล่าวถูกต้องเกี่ยวกับคุณสมบัติของยา A</t>
  </si>
  <si>
    <t>การละลายสูง การซึมผ่านสูง</t>
  </si>
  <si>
    <t>การละลายสูง การแตกตัวสูง</t>
  </si>
  <si>
    <t>การละลายต่ำ การซึมผ่านต่ำ</t>
  </si>
  <si>
    <t>การละลายต่ำ แต่การซึมผ่านสูง</t>
  </si>
  <si>
    <t>\ จำ choice ไม่ได้</t>
  </si>
  <si>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</si>
  <si>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2565 ข้อ 80</t>
  </si>
  <si>
    <t>ทําการทดสอบ Bioequivalence (BE) ของ Naproxen tablet ต้องทดสอบอะไร</t>
  </si>
  <si>
    <t>Cmax และ AUC</t>
  </si>
  <si>
    <t>Vd และ Half-life  เป็นค่าทางเภสัชจลนศาสตร์ ไม่ใช่เกณฑ์หลักของ BE</t>
  </si>
  <si>
    <t>Clearance และ AUC  Clearance ไม่ใช้เป็นเกณฑ์เปรียบเทียบ BE</t>
  </si>
  <si>
    <t>Clearance และ Cmax  Clearance ไม่ใช่ตัวชี้วัด BE</t>
  </si>
  <si>
    <t>Vd และ AUC  Vd ไม่ใช่เกณฑ์ของ BE</t>
  </si>
  <si>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</si>
  <si>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15</t>
  </si>
  <si>
    <t>ข้อมูลด้านประสิทธิภาพและประสิทธิผลใด จําเป็นต้องใช้ในการขึ้นทะเบียนตํารับยา orlistat capsule</t>
  </si>
  <si>
    <t>Assay  เป็นการทดสอบปริมาณตัวยา (Quality control)</t>
  </si>
  <si>
    <t>Uniformity of dosage  เป็นการทดสอบความสม่ำเสมอของปริมาณยา</t>
  </si>
  <si>
    <t>Comparative dissolution  ใช้สนับสนุนหรือบางกรณีใช้ขอ Biowaiver แต่ไม่ใช่หลักฐานประสิทธิภาพหลักของ BE</t>
  </si>
  <si>
    <t>95%CI ของ AUC และ Cmax ของการทดสอบชีวสมมูล</t>
  </si>
  <si>
    <t>รายงานอาการไม่พึงประสงค์ เป็นข้อมูลด้านความปลอดภัย ไม่ใช่หลักฐานการแสดงชีวสมมูล</t>
  </si>
  <si>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</si>
  <si>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22</t>
  </si>
  <si>
    <t>ข้อกำหนดยา A ในหัวข้อ dissolution กำหนดไว้วา “not less than 80% (Q) of labeled amount of A is dissolved in 30 minutes” ข้อใดถือว่าผ่านเกณฑ์</t>
  </si>
  <si>
    <t>[แนบรูป: ข้อสอบ Product ปี 2564 รหัสรูปภาพ image75]</t>
  </si>
  <si>
    <t>ค่าเฉลี่ยของการละลายทั้ง 6 เม็ด มากกวาหรือเท่ากับ 80% labeled amount ภายใน 30 นาที</t>
  </si>
  <si>
    <t>ค่าเฉลี่ยของการละลายทั้ง 6 เม็ด มากกวาหรือเท่ากับ 85% labeled amount ภายใน 30 นาที</t>
  </si>
  <si>
    <t>ค่าละลายของยาแต่ละเม็ด มากกวาหรือเท่ากับ 80% labeled amount ภายใน 30 นาที</t>
  </si>
  <si>
    <t>ค่าละลายของยาแต่ละเม็ด มากกวาหรือเท่ากับ 85% labeled amount ภายใน 30 นาที</t>
  </si>
  <si>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</si>
  <si>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</si>
  <si>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38</t>
  </si>
  <si>
    <t>ไม่ต้องทดสอบคุณภาพ CPM Tablets</t>
  </si>
  <si>
    <t>%label amount</t>
  </si>
  <si>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</si>
  <si>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</si>
  <si>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49</t>
  </si>
  <si>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</si>
  <si>
    <t>4 ปี</t>
  </si>
  <si>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</si>
  <si>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</si>
  <si>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103</t>
  </si>
  <si>
    <t>หากต้องการเปิดหนังสือเพื่อค้นคว้า เรื่อง bioequivalence ควรเปิดหนังสือเล่มใด</t>
  </si>
  <si>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</si>
  <si>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</si>
  <si>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121</t>
  </si>
  <si>
    <t>ยาผ่าน การวิเคราะห์ ในทุกหัวข้อ</t>
  </si>
  <si>
    <t>การแตกตัวไม่ผ่าน เพราะได้น้อยกว่า 15 นาที</t>
  </si>
  <si>
    <t>Weight variation ไม่ผ่าน ได้น้อยกว่า 75%</t>
  </si>
  <si>
    <t>dissolution ไม่ผ่าน ได้น้อยกว่า 85% ต้องทดสอบเพิ่ม</t>
  </si>
  <si>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</si>
  <si>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</si>
  <si>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134</t>
  </si>
  <si>
    <t>สารใดใช้สำหรับการเตรียม matrix sustained release tablets</t>
  </si>
  <si>
    <t>Sucralose</t>
  </si>
  <si>
    <t>Polysorbate</t>
  </si>
  <si>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</si>
  <si>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</si>
  <si>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156</t>
  </si>
  <si>
    <t>ชีวสมมูลเปรียบเทียบยาต้นแบบกับยาใหม่ที่ขับออกทางไตคือข้อใด</t>
  </si>
  <si>
    <t>T1/2 ❌ เป็นพารามิเตอร์การกำจัดยา ไม่ใช่ตัวหลักในการเปรียบเทียบ BE</t>
  </si>
  <si>
    <t>Urine excretion ✅ ใช้ได้เมื่อยาถูกขับออกทางไตเป็นหลัก</t>
  </si>
  <si>
    <t>AUC vs time curve ❌ เป็นวิธีหลักของ BE ทั่วไป แต่ใช้จาก plasma concentration ไม่ใช่ urine ในกรณีนี้</t>
  </si>
  <si>
    <t>Drug plasma concentration ❌ ใช้บ่อยที่สุด แต่โจทย์ระบุ "ขับออกทางไต" → ใช้ urine ได้</t>
  </si>
  <si>
    <t>Time to peak drug concentration (Tmax) ❌ บอกอัตราการดูดซึม ไม่ใช่ปริมาณยาเข้าสู่ร่างกาย</t>
  </si>
  <si>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</si>
  <si>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2564 ข้อ 165</t>
  </si>
  <si>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</si>
  <si>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</si>
  <si>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</si>
  <si>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2563 ข้อ 14</t>
  </si>
  <si>
    <t>ตามเภสัชตำรับ celecoxib 200 mg ไม่ต้องทดสอบอะไร ต้นฉบับ: Day 1 ข้อ 4</t>
  </si>
  <si>
    <t>Particle size distribution</t>
  </si>
  <si>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</si>
  <si>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</si>
  <si>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2563 ข้อ 16</t>
  </si>
  <si>
    <t>ข้อใดถูกต้อง ต้นฉบับ: Day 1 ข้อ 45</t>
  </si>
  <si>
    <t>ทำเป็น granule ใส่ในแคปซูลแบบนิ่มได้</t>
  </si>
  <si>
    <t>แคปซูลเบอร์ใหญ่จะขนาดใหญ่</t>
  </si>
  <si>
    <t>แคปซูล bioavailability น้อยกว่ายาเม็ด</t>
  </si>
  <si>
    <t>แคปซูลเป็น solid dosage form จะมียาสารสำคัญมากกว่า1 ตัวขึ้นไป</t>
  </si>
  <si>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</si>
  <si>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</si>
  <si>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2563 ข้อ 23</t>
  </si>
  <si>
    <t>ตัวยา Isosorbide dinitrate รูปแบบใดออกฤทธิ์เร็วที่สุดในการบรรเทาอาการเจ็บหน้าอก ต้นฉบับ: Day 2 ข้อ 24</t>
  </si>
  <si>
    <t>Immediate release tablets</t>
  </si>
  <si>
    <t>Sustained release tablets</t>
  </si>
  <si>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</si>
  <si>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</si>
  <si>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2563 ข้อ 29</t>
  </si>
  <si>
    <t>จากตำรับแคปซูล celecoxib ไม่ต้องทำการทดสอบอะไร ต้นฉบับ: Day 2 ข้อ 113 (ซ้ำกับข้อ 16\)</t>
  </si>
  <si>
    <t>Percent label amount</t>
  </si>
  <si>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</si>
  <si>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</si>
  <si>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2563 ข้อ 38</t>
  </si>
  <si>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</si>
  <si>
    <t>Chipping</t>
  </si>
  <si>
    <t>Mottling</t>
  </si>
  <si>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</si>
  <si>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</si>
  <si>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</si>
  <si>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</si>
  <si>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</si>
  <si>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</si>
  <si>
    <t>Dissolutions</t>
  </si>
  <si>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</si>
  <si>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</si>
  <si>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จาก monograph ของยา carvedilol ข้อใดคือเครื่องมือที่ใช้ในการทดสอบหัวข้อการละลาย [แนบรูป: ข้อสอบ Product ปี 2561 รหัสรูปภาพ image102]</t>
  </si>
  <si>
    <t>[แนบรูป: ข้อสอบ Product ปี 2561 รหัสรูปภาพ image102]</t>
  </si>
  <si>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</si>
  <si>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1</t>
  </si>
  <si>
    <t>จากข้อ 9 dissolution medium ควรจะมีอุณหภูมิเท่าใด</t>
  </si>
  <si>
    <t>20°C ± 0.5</t>
  </si>
  <si>
    <t>20°C ± 2.0</t>
  </si>
  <si>
    <t>25°C ± 0.5</t>
  </si>
  <si>
    <t>25°C ± 2.0</t>
  </si>
  <si>
    <t>37°C ± 0.5</t>
  </si>
  <si>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</si>
  <si>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2</t>
  </si>
  <si>
    <t>จากใบ COA ของยา cloxacillin ข้อใดถูก [แนบรูป: ข้อสอบ Product ปี 2561 รหัสรูปภาพ image108]</t>
  </si>
  <si>
    <t>[แนบรูป: ข้อสอบ Product ปี 2561 รหัสรูปภาพ image108]</t>
  </si>
  <si>
    <t>ยาผ่านการวิเคราะห์ในทุกหัวข้อ</t>
  </si>
  <si>
    <t>Weight variation ไม่ผ่าน ได้น้อยกว่า 15 นาที</t>
  </si>
  <si>
    <t>การวิเคราะห์ตัวยาสำคัญไม่ผ่าน เพราะได้เกิน 90%</t>
  </si>
  <si>
    <t>Dissolution ไม่ผ่าน เพราะได้น้อยกว่า 85% ต้องทดสอบเพิ่ม</t>
  </si>
  <si>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</si>
  <si>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35</t>
  </si>
  <si>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</si>
  <si>
    <t>ตำรับ A ผ่าน stage 1</t>
  </si>
  <si>
    <t>ตำรับ B ผ่าน stage 1</t>
  </si>
  <si>
    <t>ตำรับ C ผ่าน stage 1</t>
  </si>
  <si>
    <t>ตำรับ D ไม่ผ่าน stage 1 รอทดสอบ stage 2</t>
  </si>
  <si>
    <t>ตำรับ E ไม่ผ่าน stage 2 รอทดสอบ stage 3</t>
  </si>
  <si>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</si>
  <si>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52</t>
  </si>
  <si>
    <t>Phenytoin capsule ไม่ต้องทดสอบอะไร</t>
  </si>
  <si>
    <t>Microbial test</t>
  </si>
  <si>
    <t>Loss and dying</t>
  </si>
  <si>
    <t>Uniformity content</t>
  </si>
  <si>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</si>
  <si>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53</t>
  </si>
  <si>
    <t>Venlafaxine XR capsule ต้องทำ in vitro dissolution test ด้วยวิธีอะไร</t>
  </si>
  <si>
    <t>Apparatus I basket</t>
  </si>
  <si>
    <t>Apparatus III cylinder</t>
  </si>
  <si>
    <t>Apparatus IV flow trough cell</t>
  </si>
  <si>
    <t>Apparatus V Paddle over disk</t>
  </si>
  <si>
    <t>Apparatus VII Reciprocating holder</t>
  </si>
  <si>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</si>
  <si>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71</t>
  </si>
  <si>
    <t>เพราะเหตุใด phenytoin จึงต้องทำ bioavailability &amp; equivalent test</t>
  </si>
  <si>
    <t>ไม่มียาในรูปแบบที่ละลายได้เร็วในปาก</t>
  </si>
  <si>
    <t>มีส่วนประกอบในตำรับที่ไม่มีผลต่อการดูดซึมหรือออกฤทธิ์</t>
  </si>
  <si>
    <t>ยาละลายเร็ว rapid solubility และ very rapid dissolution</t>
  </si>
  <si>
    <t>เพราะมีคุณสมบัติเป็น BCS class I เนื่องจาก high solubility high</t>
  </si>
  <si>
    <t>มีอัตราส่วน minimum toxic concentration (MTC) ต่อ minimum effective</t>
  </si>
  <si>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</si>
  <si>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72</t>
  </si>
  <si>
    <t>Phenytoin 100 mg. capsule ไม่ต้องทดสอบในหัวข้อใด</t>
  </si>
  <si>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</si>
  <si>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73</t>
  </si>
  <si>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</si>
  <si>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</si>
  <si>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2561 ข้อ 83</t>
  </si>
  <si>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</si>
  <si>
    <t>C+D</t>
  </si>
  <si>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</si>
  <si>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ข้อใดไม่จำเป็นใน certificate of analysis ของยา amoxicillin</t>
  </si>
  <si>
    <t>Label amount</t>
  </si>
  <si>
    <t>Uniformity of dosage</t>
  </si>
  <si>
    <t>Bioequivalent</t>
  </si>
  <si>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</si>
  <si>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2559 ข้อ 21</t>
  </si>
  <si>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</si>
  <si>
    <t>F1</t>
  </si>
  <si>
    <t>F2</t>
  </si>
  <si>
    <t>F3</t>
  </si>
  <si>
    <t>F4</t>
  </si>
  <si>
    <t>F5</t>
  </si>
  <si>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</si>
  <si>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2559 ข้อ 24</t>
  </si>
  <si>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</si>
  <si>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</si>
  <si>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ข้อใดไม่ได้อยู่ในการทดสอบมาตรฐานตาม USP</t>
  </si>
  <si>
    <t>Disintegrations</t>
  </si>
  <si>
    <t>Hardness and Friability</t>
  </si>
  <si>
    <t>content uniformity</t>
  </si>
  <si>
    <t>Weight variations</t>
  </si>
  <si>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</si>
  <si>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</si>
  <si>
    <t>ยาสูตรผสม Combination ให้ผลการรักษาโรคและป้องกันอวัยวะข้างเคียงได้ดีกว่าการใช้ยาเดี่ยวอย่างมีนัยสำคัญ</t>
  </si>
  <si>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</si>
  <si>
    <t>ยา Telmisartan ป้องกันการเกิดโรคไตเสื่อมได้ดีกว่า Ramipril อย่างมีนัยสำคัญ</t>
  </si>
  <si>
    <t>ยา Ramipril ช่วยเพิ่มระดับอัตราการอยู่รอดของหัวใจได้ดีกว่า Telmisartan อย่างเห็นได้ชัด</t>
  </si>
  <si>
    <t>ยาสูตรผสมช่วยลดอัตราการเกิดโรคหัวใจเฉียบพลันได้ดีและมีผลข้างเคียงต่ำสุด</t>
  </si>
  <si>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</si>
  <si>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2558 ข้อ 30</t>
  </si>
  <si>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</si>
  <si>
    <t>การชะลอเวลาบีบตัวของกระเพาะอาหารลงสู่ลำไส้เล็ก (Increase gastric emptying time)</t>
  </si>
  <si>
    <t>การเร่งส่งยาลงสู่ลำไส้เล็กให้เร็วขึ้น (Decrease gastric emptying time)</t>
  </si>
  <si>
    <t>การเพิ่มเวลาที่ยาอยู่ในลำไส้เล็ก (Increase intestinal transit time)</t>
  </si>
  <si>
    <t>การลดเวลาที่ยาอยู่ในลำไส้เล็ก (Decrease intestinal transit time)</t>
  </si>
  <si>
    <t>อัตราการบีบตัวของทางเดินอาหารไม่มีผลต่อการดูดซึมของยากลุ่มนี้</t>
  </si>
  <si>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</si>
  <si>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2558 ข้อ 34</t>
  </si>
  <si>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</si>
  <si>
    <t>[แนบรูป: ข้อสอบ Product ปี 2558 รหัสรูปภาพ image124]</t>
  </si>
  <si>
    <t>ผลการทดสอบ Dissolution จะตัดสินว่าผ่านเกณฑ์ในการทดสอบขั้นแรก (S1) ได้ทันทีเมื่อค่าเฉลี่ยของยาทั้ง 6 เม็ดมากกว่าหรือเท่ากับ Q</t>
  </si>
  <si>
    <t>ผลการทดสอบ Disintegration จะถือว่าผ่านเกณฑ์หากเม็ดยาทั้งหมดละลายจนเป็นสารละลายใสไม่มีตะกอนภายในเวลาที่กำหนด</t>
  </si>
  <si>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</si>
  <si>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</si>
  <si>
    <t>ผลการทดสอบ Identification ถือเป็นผลการทดสอบเชิงคุณภาพที่ไม่จำเป็นต้องสรุปผลในใบรายงาน COA ก่อนการปล่อยผ่านยา (Batch Release) ##</t>
  </si>
  <si>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</si>
  <si>
    <t>ข้อสอบจริง Product ปี 2558 ข้อ 40</t>
  </si>
  <si>
    <t>ถ้าระดับ Albumin ในเลือดลดลง กระบวนการใดที่ไม่ได้รับผลกระทบจากการเปลี่ยนแปลงนี้</t>
  </si>
  <si>
    <t>Metabolism</t>
  </si>
  <si>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</si>
  <si>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กระบวนการ sterilization ที่เหมาะสมกับผลิตภัณฑ์สำเร็จรูป insulin injection ได้แก่ข้อใด</t>
  </si>
  <si>
    <t>Dry heat sterilization</t>
  </si>
  <si>
    <t>Sterile filtration</t>
  </si>
  <si>
    <t>Steam sterilization</t>
  </si>
  <si>
    <t>Ethylene oxide gas sterilization</t>
  </si>
  <si>
    <t>Gamma radiation sterilization</t>
  </si>
  <si>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</si>
  <si>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Autoclave &amp; Sterilization</t>
  </si>
  <si>
    <t>Sterile Products</t>
  </si>
  <si>
    <t>Mock PLE-CC 1 ข้อ 32</t>
  </si>
  <si>
    <t>COA ของ insulin biosimilar glargine อะไรไม่จำเป็นต้องมี</t>
  </si>
  <si>
    <t>Bacterial endotoxin</t>
  </si>
  <si>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</si>
  <si>
    <t>Parenterals &amp; Ophthalmic</t>
  </si>
  <si>
    <t>Mock PLE-CC 1 ข้อ 34</t>
  </si>
  <si>
    <t>เหตุผลหลักในการตรวจ Bacterial endotoxin ใน Paclitaxel injection</t>
  </si>
  <si>
    <t>เพื่อให้มั่นใจว่าไม่มีเชื้อราเจริญเติบโตในยา</t>
  </si>
  <si>
    <t>เพื่อป้องกันการเกิด Pyrogenic reaction</t>
  </si>
  <si>
    <t>เพื่อวัดความเข้มข้นของสารกันเสีย</t>
  </si>
  <si>
    <t>เพื่อประเมินความคงตัวของยาที่อุณหภูมิสูง</t>
  </si>
  <si>
    <t>เพื่อวัดความแรงในการออกฤทธิ์ต้านมะเร็ง</t>
  </si>
  <si>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</si>
  <si>
    <t>Sterility &amp; Pyrogen testing</t>
  </si>
  <si>
    <t>Mock PLE-CC 1 ข้อ 75</t>
  </si>
  <si>
    <t>ในการผลิต mAB ใน bioreactor ปัจจัยใดที่ต้องควบคุมเพื่อให้เซลล์เจริญเติบโตได้ดี
และมีการสร้างโปรตีนอย่างมีประสิทธิภาพ</t>
  </si>
  <si>
    <t>ควบคุม pH อุณหภูมิ และระดับ O2</t>
  </si>
  <si>
    <t>ใส่ตัวทำละลายอินทรีย์ เพื่อเร่งให้โปรตีนเกิดการพับตัว</t>
  </si>
  <si>
    <t>ใส่ reducing agent เพื่อป้องกันการเกิด disulfide bond formation</t>
  </si>
  <si>
    <t>Sterile ด้วยไรสักอย่างเพื่อไม่ให้เกิดการปนเปื้อน</t>
  </si>
  <si>
    <t>ใส่ protease เพื่อเร่งให้เกิดการเสื่อมสลายของโปรตีนที่ไม่ได้เกิดการพับ</t>
  </si>
  <si>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</si>
  <si>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79</t>
  </si>
  <si>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</si>
  <si>
    <t>ผ่าน เพราะต ่ากว่า limit</t>
  </si>
  <si>
    <t>ไม่ผ่าน เพราะเกิน limit</t>
  </si>
  <si>
    <t>ผ่านได้ถ้าเจือจางเพิ่ม</t>
  </si>
  <si>
    <t>ไม่ผ่าน ต้องมีการทดสอบ sterility test ใหม่</t>
  </si>
  <si>
    <t>ไม่ผ่านซักขวด</t>
  </si>
  <si>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</si>
  <si>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Mock PLE-CC 1 ข้อ 105</t>
  </si>
  <si>
    <t>ผลิตภัณฑ์ยาหยอดตาที่มีการทำ filtration sterilization ข้อใดไม่ถูกต้อง</t>
  </si>
  <si>
    <t>ต้องทำใน clean room และใช้ aseptic techniques</t>
  </si>
  <si>
    <t>เป็น terminal (finish) process</t>
  </si>
  <si>
    <t>ใช้ 0.22 ไมครอน ในการกรองจุลินทรีย์</t>
  </si>
  <si>
    <t>ยาที่กรองแล้วต้องใส่ภาชนะที่ทำ sterilization แล้ว</t>
  </si>
  <si>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</si>
  <si>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</si>
  <si>
    <t>PLE_CC1_2567_Key ข้อ 17</t>
  </si>
  <si>
    <t>อะไรใน sterile IV mixture set ที่เกิดปกญหามากที่สุดกับ nitroglycerin</t>
  </si>
  <si>
    <t>Polyethylene</t>
  </si>
  <si>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</si>
  <si>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</si>
  <si>
    <t>PLE_CC1_2565_Day2_Key ข้อ 27</t>
  </si>
  <si>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</si>
  <si>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</si>
  <si>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</si>
  <si>
    <t>PLE_CC1_2565_Day2_Key ข้อ 43</t>
  </si>
  <si>
    <t>ข้อใดถูกต้องเกี่ยวกับยา steroid ฉีดเข้าข้อ X &amp;o preservative&amp;</t>
  </si>
  <si>
    <t>ห้ามใส่สารกันเสีย</t>
  </si>
  <si>
    <t>ฉีดเข้าข้อเท่านั้น ห้ามฉีดเข้ากล้ามเนื้อ</t>
  </si>
  <si>
    <t>ฉีดเข้าข้อได้มากกว่า 100 มิลลิลิตร</t>
  </si>
  <si>
    <t>ทำเป็นยารูปแบบแขวนตะกอนได้</t>
  </si>
  <si>
    <t>Sterile ด้วย autoclave</t>
  </si>
  <si>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</si>
  <si>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30 (PLE_CC1_2562_Key.md)</t>
  </si>
  <si>
    <t>หลังเกิด hepatitis จากยา IRZE ยาใดเหมาะสมที่สุดในการให้แทนยา 1st line X ิ areisinterna nurser. hepatitis an IRZO "EOS</t>
  </si>
  <si>
    <t>Thalidomide</t>
  </si>
  <si>
    <t>Ethioamide</t>
  </si>
  <si>
    <t>Linezolid</t>
  </si>
  <si>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</si>
  <si>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Sterile Cleanroom specs</t>
  </si>
  <si>
    <t>ข้อ 12 (PLE_CC1_2562_Key.md)</t>
  </si>
  <si>
    <t>ข้อใดไม.ใช.การทดสอบเพื่อควบคุมคุณภาพยาฉีด</t>
  </si>
  <si>
    <t>Safety test</t>
  </si>
  <si>
    <t>Particulate matter test</t>
  </si>
  <si>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</si>
  <si>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124 (PLE_CC1_2561_Key.md)</t>
  </si>
  <si>
    <t>วิธีการทำปราศจากเชื้อวัคซีน</t>
  </si>
  <si>
    <t>Aseptic technique</t>
  </si>
  <si>
    <t>Autoclave</t>
  </si>
  <si>
    <t>Hot air oven</t>
  </si>
  <si>
    <t>Ethylene oxide</t>
  </si>
  <si>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</si>
  <si>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40 (PLE_CC1_2558_Key.md)</t>
  </si>
  <si>
    <t>ผู้ป่วยได้รับการวินิจฉัยว่ามีภาวะ hepatic encephalopathy ยาในข้อใดที_x001E_ผู้ป่วยรายนี%ไม่ควรได้รับ (1) Lorazepam (2) Flumazenil (3) Zinc sulfate (4) Lactulose (5) Rifaximin</t>
  </si>
  <si>
    <t>Isotonic Sodium Chloride 0.9% Osmotic Adjustment</t>
  </si>
  <si>
    <t>Moist Heat Steam Sterilization (Autoclave 121 C, 15 psi, 15 min)</t>
  </si>
  <si>
    <t>Dry Heat Sterilization (Hot Air Oven 160-170 C, 2 hours)</t>
  </si>
  <si>
    <t>Membrane Filtration Sterilization (0.22 micron pore size)</t>
  </si>
  <si>
    <t>Ethylene Oxide Gas Sterilization (ETO)</t>
  </si>
  <si>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</si>
  <si>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57 (PLE_CC1_2557.md)</t>
  </si>
  <si>
    <t>ตำรับยาฉีด Desferrioxamine ที_x001E_เตรียมขึ%นนี% ไม่จำเป็นต้อง มีการควบคุมคุณภาพใด (1) pH (2) Sterility (3) Pyrogen (4) Particulate matter (5) Osmolarity of solution MCQ 12 | 1/2557 | Page 26</t>
  </si>
  <si>
    <t>LAL Test (Limulus Amebocyte Lysate Bacterial Endotoxin)</t>
  </si>
  <si>
    <t>Rabbit Pyrogen Test in vivo</t>
  </si>
  <si>
    <t>ISO Class 5 (Grade A) Laminar Airflow Workstation</t>
  </si>
  <si>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</si>
  <si>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80 (PLE_CC1_2557.md)</t>
  </si>
  <si>
    <t>การทดสอบโดยการฉีดเข้าไปในหูกระต่ายแล้ววัดอุณหภูมิของกระต่ายที่สูงขึ้น เป็นการทดสอบอะไร</t>
  </si>
  <si>
    <t>Purity test</t>
  </si>
  <si>
    <t>Toxicity test</t>
  </si>
  <si>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</si>
  <si>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 (PLE_CC1_2555 Day 1.md)</t>
  </si>
  <si>
    <t>Cholestasis hepatitis</t>
  </si>
  <si>
    <t>Dry Powder Inhaler (DPI) with Carrier Lactose</t>
  </si>
  <si>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</si>
  <si>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Hepatitic fibrosis</t>
  </si>
  <si>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</si>
  <si>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Hepatocellular hepatitis</t>
  </si>
  <si>
    <t>Metered Dose Inhaler (MDI) with HFA propellant</t>
  </si>
  <si>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</si>
  <si>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Granulomatous hepatitis</t>
  </si>
  <si>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</si>
  <si>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Elevated hepatic transaminase</t>
  </si>
  <si>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</si>
  <si>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อะไรคือสิ่งที่สำคัญที่สุดในการทำยาหยอดตา</t>
  </si>
  <si>
    <t>Tonicity</t>
  </si>
  <si>
    <t>Sterity</t>
  </si>
  <si>
    <t>Volume</t>
  </si>
  <si>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</si>
  <si>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</si>
  <si>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</si>
  <si>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หากท่านต้องการเตรียมการผลิต แบ่งบรรจุยาเคมีบำบัด ควรเตรียมยาในห้องที่มีสภาวะแบบใด</t>
  </si>
  <si>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</si>
  <si>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</si>
  <si>
    <t>ควรเลือก Unfractionated Heparin (UFH) เนื่องจากเกิด thrombocytopenia ต่ำ</t>
  </si>
  <si>
    <t>ควรเลือก Unfractionated Heparin (UFH) เนื่องจากปรับขนาดยาง่าย</t>
  </si>
  <si>
    <t>ควรเลือก Unfractionated Heparin (UFH) เนื่องจากมี specificity สูง</t>
  </si>
  <si>
    <t>ควรเลือก Low molecular weight heparin (LMWH) เนื่องจากบริหารยาง่าย</t>
  </si>
  <si>
    <t>ควรเลือก Low molecular weight heparin (LMWH) เนื่องจากไม่ต้องปรับขนาดยาในคนไข้โรค ไต</t>
  </si>
  <si>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</si>
  <si>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เภสัชกรพิจารณาจ่ายยา Chloramphenicol eye drop เภสัชกรควรให้คำแนะนำในการหยอดตาอย่างไร</t>
  </si>
  <si>
    <t>หลังเปิดใช้งานแล้วเก็บยาที่อุณหภูมิห้องหรือภายในตู้เย็น โดยยามีอายุ 14 วันหลังเปิดใช้งาน</t>
  </si>
  <si>
    <t>หากผู้ป่วยจำเป็นต้องใช้ยาป้ายตา ointment ร่วมด้วยควรใช้ยาป้ายตาก่อนหยอดตา Chloramphenicol eye drop</t>
  </si>
  <si>
    <t>การกดหัวตาเบาๆ อาจช่วยลดความรู้สึกขมคอภายหลังหยอดตาได้</t>
  </si>
  <si>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</si>
  <si>
    <t>ล้างมือให้สะอาด เปิดฝาครอบขวดยาออก คว่ำฝาชวดยาลงบนพื้น</t>
  </si>
  <si>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</si>
  <si>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</si>
  <si>
    <t>Metformin (มีผลข้างเคียงทำให้น้ำหนักลด) ง. Chlorpropamide จ. Sitagliptin</t>
  </si>
  <si>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</si>
  <si>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</si>
  <si>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</si>
  <si>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</si>
  <si>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</si>
  <si>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</si>
  <si>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</si>
  <si>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</si>
  <si>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</si>
  <si>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</si>
  <si>
    <t>ระบบอากาศเป็น HEPA filter และ Pre HEPA</t>
  </si>
  <si>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</si>
  <si>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</si>
  <si>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</si>
  <si>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</si>
  <si>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</si>
  <si>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</si>
  <si>
    <t>ลด hepatotoxicity</t>
  </si>
  <si>
    <t>หลอดเลือด...อุดตัน ข้อห้ามใช้ยาคุมกำเนิดชนิดรวมได้แก่ - Thromboembolic dz. - Stroke - MI,CAD - Cancer caused by hormones - Hepatic dz,Gallbladder dz. - Female &gt; 35 years and Smoking &gt; 15 pack/days Case 12 : ตับ</t>
  </si>
  <si>
    <t>ข้อเป็นสาเหตุให้เกิด ascites</t>
  </si>
  <si>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</si>
  <si>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oral bactrim Avoid : AMGs เพิ่มความเสียงในการเกิด Hepatorenal syndrome Case ไหนไม่รู้</t>
  </si>
  <si>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</si>
  <si>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ทำให้ปราศจากเชื้อโดยใช้แกส ethylene oxide (Gas sterilization)</t>
  </si>
  <si>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</si>
  <si>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ทำให้ปราศจากเชื้อโดยใช้ความร้อนชื้น (Autoclave)</t>
  </si>
  <si>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</si>
  <si>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การตกผลึกซ้ำ (Sterile recrystallization)</t>
  </si>
  <si>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</si>
  <si>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BSC class II มี hepa fillter ที่สามารถกรองอากาศได้ 100%</t>
  </si>
  <si>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</si>
  <si>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</si>
  <si>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</si>
  <si>
    <t>เป็นการบริหารยาแบบ Non-invasive</t>
  </si>
  <si>
    <t>ยาออกฤทธิ์แค่ที่อวัยวะเป้าหมาย ไม่เข้าสู่กระแสเลือด</t>
  </si>
  <si>
    <t>ยาในส่วนที่ลงสู่ปอดไม่ผ่าน First-pass metabolism</t>
  </si>
  <si>
    <t>มีผลข้างเคียงทั่วร่างกายน้อยกว่ายารูปแบบรับประทาน</t>
  </si>
  <si>
    <t>สามารถปรับขนาดยาให้เหมาะสมได้เมื่อเทียบกับยารูปแบบรับประทาน</t>
  </si>
  <si>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</si>
  <si>
    <t>Sterile &amp; Special Forms</t>
  </si>
  <si>
    <t>Mock PLE-CC 1 ข้อ 100</t>
  </si>
  <si>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</si>
  <si>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</si>
  <si>
    <t>PLE_CC1_2567_Key ข้อ 32</t>
  </si>
  <si>
    <t>ผลิตภัณฑ์ยาหยอดตาที่มีการทำให้ปราศจากเชื้อด้วยวิธี Filtration sterilization ข้อใดต่อไปนี้กล่าว "ไม่ถูกต้อง"</t>
  </si>
  <si>
    <t>กระบวนการกรองและบรรจุต้องทำภายใต้ Cleanroom และเทคนิคปลอดเชื้อ (Aseptic technique)</t>
  </si>
  <si>
    <t>การกรองผ่านแผ่นกรองขนาด 0.22 ไมครอน จัดเป็นกระบวนการ Terminal sterilization</t>
  </si>
  <si>
    <t>ใช้แผ่นกรองเมมเบรนขนาดรูพรุน 0.22 ไมครอน ในการกำจัดจุลินทรีย์และแบคทีเรีย</t>
  </si>
  <si>
    <t>สารละลายยาที่กรองแล้วต้องบรรจุลงในภาชนะบรรจุที่ผ่านการทำให้ปราศจากเชื้อมาแล้ว</t>
  </si>
  <si>
    <t>เป็นวิธีที่เหมาะสมสำหรับสารละลายยาที่ไม่คงตัวต่อความร้อน (Thermolabile drugs)</t>
  </si>
  <si>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</si>
  <si>
    <t>(ปี 2566, Day 1 ข้อ 35 - ยาหยอดตา) (เรื่อง: การทดสอบคุณภาพยาหยอดตา) ยาหยอดตาไม่ต้องทดสอบคุณภาพด้านใด</t>
  </si>
  <si>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</si>
  <si>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</si>
  <si>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Sterile Preparations &amp; Sterilization</t>
  </si>
  <si>
    <t>ข้อสอบจริง Product ปี 2566 ข้อ 7</t>
  </si>
  <si>
    <t>(ปี 2566, Day 2 ข้อ 43\) (เรื่อง: ตำรับยาหยอดตา - ข้อที่ผิด) เกี่ยวกับตำรับยาตา ข้อใดผิด</t>
  </si>
  <si>
    <t>pH ต้องเท่ากับน้ำตาเท่านั้น</t>
  </si>
  <si>
    <t>ต้อง isotonic</t>
  </si>
  <si>
    <t>ต้องตรวจ particle size</t>
  </si>
  <si>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</si>
  <si>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</si>
  <si>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2566 ข้อ 15</t>
  </si>
  <si>
    <t>(ปี 2566, Day 2 ข้อ 97\) (เรื่อง: เกรดห้องสะอาดสำหรับการผลิต Insulin) การผลิต insulin ต้องทำในพื้นที่ระดับไหน</t>
  </si>
  <si>
    <t>Assemble Grade A, background Grade A</t>
  </si>
  <si>
    <t>Grade D</t>
  </si>
  <si>
    <t>Grade C</t>
  </si>
  <si>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</si>
  <si>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</si>
  <si>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2566 ข้อ 41</t>
  </si>
  <si>
    <t>ข้อใดไม่จัดเป็น terminal sterilization</t>
  </si>
  <si>
    <t>Stream sterilization</t>
  </si>
  <si>
    <t>Membrane filtration</t>
  </si>
  <si>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</si>
  <si>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</si>
  <si>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2565 ข้อ 95</t>
  </si>
  <si>
    <t>Ketotifen 0.025% ประกอบด้วย ketotifen fumarate, glycerin, Hypromellose, NaOH/HCI, NaC, benzalkonium chloride, purified water และ solubility ของ ketotifen 10 mg/ml ข้อใดถูกต้อง</t>
  </si>
  <si>
    <t>ยาเป็นรูปแบบ ophthalmic suspension</t>
  </si>
  <si>
    <t>ไม่จำเป็นต้องใส่ preservative เพราะยาตา sterile อยู่แล้ว</t>
  </si>
  <si>
    <t>ต้องปรับ pH ให้เท่ากับน้ำตา</t>
  </si>
  <si>
    <t>ต้องปรับ pH 7.4 เพื่อให้เป็น isotonic</t>
  </si>
  <si>
    <t>ใช้ NaCI ในการทำให้สารละลายเป็น isotonic solution</t>
  </si>
  <si>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</si>
  <si>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2565 ข้อ 42</t>
  </si>
  <si>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</si>
  <si>
    <t>[แนบรูป: ข้อสอบ Product ปี 2565 รหัสรูปภาพ image51]</t>
  </si>
  <si>
    <t>Buffering agent → ควบคุม/ต้านการเปลี่ยนแปลงของ pH</t>
  </si>
  <si>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</si>
  <si>
    <t>Surface active agent → ช่วยเรื่อง wetting, solubilization และคุณสมบัติของสารละลาย</t>
  </si>
  <si>
    <t>Isotonic agent → ปรับ tonicity เช่น NaCl</t>
  </si>
  <si>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</si>
  <si>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</si>
  <si>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</si>
  <si>
    <t>Solutions for injection  มีน้ำ เกิด hydrolysis ระหว่างเก็บ</t>
  </si>
  <si>
    <t>ละลายยาด้วยน้ำ แล้วทำเป็น powders for injection ด้วยวิธี lyophilization</t>
  </si>
  <si>
    <t>Spray drying  ใช้ความร้อน จึงไม่เหมาะกับยาที่ไม่ทนความร้อน</t>
  </si>
  <si>
    <t>Emulsion ในน้ำมัน  โจทย์บอกว่ายาละลายน้ำได้ดี และการทำอิมัลชันไม่ใช่วิธีแก้ปัญหา hydrolysis ในกรณีนี้</t>
  </si>
  <si>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</si>
  <si>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42</t>
  </si>
  <si>
    <t>ทดสอบ chloramphenicol eye drop ไม่จำเป็นต้องทำข้อใด</t>
  </si>
  <si>
    <t>Isotonicity</t>
  </si>
  <si>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</si>
  <si>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</si>
  <si>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44</t>
  </si>
  <si>
    <t>สารละลายที่ใชในผลิต furosemide inj ในระดับอุตสาหกรรม (ฉลาก 10 ml, single dose syringe)</t>
  </si>
  <si>
    <t>Purified water: ใช้ผลิตยาที่ไม่ใช่ยาปราศจากเชื้อ (non-sterile product)</t>
  </si>
  <si>
    <t>Sterile purified water: ใช้ผลิตยาที่ใช้ภายนอกหรือยาที่ไม่ใช่ยาฉีด (non-parenteral), ใช้ล้างเครื่องมือ</t>
  </si>
  <si>
    <t>Water for inj</t>
  </si>
  <si>
    <t>Sterile water for injection: ใช้ผสมยาที่เป็นยาผงสำหรับฉีด (powder for injection)</t>
  </si>
  <si>
    <t>Bacteriostatic water for injection: มีสารกันเสีย ไม่ใช้กับยาฉีดขนาดบรรจุครั้งเดียว (single dose)</t>
  </si>
  <si>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</si>
  <si>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46</t>
  </si>
  <si>
    <t>น้ำที่ใช้ในกระบวนการผลิตยาทาเฉพาะที่แบบเจล คือข้อใด</t>
  </si>
  <si>
    <t>Potable water ❌ น้ำประปาที่ดื่มได้ ใช้ล้างอุปกรณ์หรือเป็นน้ำตั้งต้นในการผลิต Purified Water ไม่ใช้ผลิตยาโดยตรง</t>
  </si>
  <si>
    <t>Purified water ✅ ใช้ผลิตยาเจล ครีม ขี้ผึ้ง ยาน้ำรับประทาน และผลิตภัณฑ์ทาภายนอกทั่วไป</t>
  </si>
  <si>
    <t>Sterile purified water ❌ ไม่ใช่ชื่อมาตรฐานในเภสัชตำรับ</t>
  </si>
  <si>
    <t>Sterile water for irrigation ❌ ใช้สำหรับการล้าง (irrigation) ไม่ใช่การผลิตเจล</t>
  </si>
  <si>
    <t>Bacteriostatic water for injection ❌ ใช้เป็นตัวทำละลายสำหรับยาฉีดบางชนิด</t>
  </si>
  <si>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</si>
  <si>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75</t>
  </si>
  <si>
    <t>ข้อกำหนดมาตรฐานของวัคซีนข้อใดที่แตกต่างจากยาฉีดทั่วไป</t>
  </si>
  <si>
    <t>Potency</t>
  </si>
  <si>
    <t>Deliverable volume</t>
  </si>
  <si>
    <t>Particulate matter</t>
  </si>
  <si>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</si>
  <si>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</si>
  <si>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100</t>
  </si>
  <si>
    <t>ข้อใดไม่ใช่การควบคุมคุณภาพยาฉีดรูปแบบสารละลาย</t>
  </si>
  <si>
    <t>Leaker test คำอธิบาย: ยาฉีดจำเป็นต้องปราสจากเชื้อ (Sterile) แสดงว่าไม่มีเชื้อที่มีชีวิตอยู่ ดังนั้น B. Microbial limit test จึงไม่จำเป็นในการทดสอบ</t>
  </si>
  <si>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</si>
  <si>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105</t>
  </si>
  <si>
    <t>การวิเคราะห์คุณภาพยาตาที่เตรียมขึ้นในข้อใดมีความสำคัญที่สุด เพื่อให้ปลอดภัยต่อผู้ป่วย A. Microbial limit test</t>
  </si>
  <si>
    <t>Microbial limit test ❌ ใช้กับผลิตภัณฑ์ที่ ไม่จำเป็นต้องปราศจากเชื้อ เช่น ยารับประทาน ยาทาผิวหนังบางชนิด โดยยาตาใช้ Sterility test แทน</t>
  </si>
  <si>
    <t>Dissolution test ❌ ใช้กับยาเม็ด/แคปซูล</t>
  </si>
  <si>
    <t>Disintegration test ❌ ใช้กับยาเม็ด/แคปซูล</t>
  </si>
  <si>
    <t>Pyrogen test ❌ สำคัญกับ ยาฉีด</t>
  </si>
  <si>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</si>
  <si>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110</t>
  </si>
  <si>
    <t>การทดสอบเพื่อควบคุมคุณภาพยาฉีด ข้อใดผิด</t>
  </si>
  <si>
    <t>Microbial limit test คำอธิบาย: ยาฉีดจำเป็นต้องปราสจากเชื้อ (Sterile) แสดงว่าไม่มีเชื้อที่มีชีวิตอยู่ ดังนั้น E. Microbial limit test จึงไม่จำเป็นในการทดสอบ</t>
  </si>
  <si>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</si>
  <si>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139</t>
  </si>
  <si>
    <t>Diazepam IV ไม่จำเป็นต้องตรวจอะไร</t>
  </si>
  <si>
    <t>Pyrogen</t>
  </si>
  <si>
    <t>Leakage test</t>
  </si>
  <si>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</si>
  <si>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</si>
  <si>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147</t>
  </si>
  <si>
    <t>ข้อใดไม่ใช่ terminal sterilization</t>
  </si>
  <si>
    <t>Autoclave ✅ Terminal sterilization (moist heat)</t>
  </si>
  <si>
    <t>Gamma radiation ✅ Terminal sterilization</t>
  </si>
  <si>
    <t>Steam sterilization ✅ Terminal sterilization</t>
  </si>
  <si>
    <t>Membrane filtration ❌ ไม่ใช่ เป็น aseptic sterilization</t>
  </si>
  <si>
    <t>Dry heat sterilization ✅ Terminal sterilization</t>
  </si>
  <si>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</si>
  <si>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157</t>
  </si>
  <si>
    <t>สาร x \= in situ gel "sol to gel" in eye drug delivery system สาร x คือข้อใด</t>
  </si>
  <si>
    <t>Polyvinyl alcohol</t>
  </si>
  <si>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</si>
  <si>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</si>
  <si>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2564 ข้อ 158</t>
  </si>
  <si>
    <t>ข้อใดเป็น preservatives ในตำรับนี้ ต้นฉบับ: Day 1 ข้อ 6</t>
  </si>
  <si>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</si>
  <si>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</si>
  <si>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2563 ข้อ 59</t>
  </si>
  <si>
    <t>ข้อใดไม่ใช่การควบคุมคุณภาพยาฉีดรูปแบบสารละลาย ต้นฉบับ: Day 1 ข้อ 7</t>
  </si>
  <si>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</si>
  <si>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</si>
  <si>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2563 ข้อ 60</t>
  </si>
  <si>
    <t>การวิเคราะห์คุณภาพยาตาที่เตรียมขึ้นในข้อใดมีความสำคัญมากที่สุด เพื่อให้ปลอดภัยต่อผู้ป่วย ต้นฉบับ: Day 1 ข้อ 96</t>
  </si>
  <si>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</si>
  <si>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</si>
  <si>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2563 ข้อ 63</t>
  </si>
  <si>
    <t>ข้อกำหนดมาตรฐานของวัคซีนข้อใดที่แตกต่างจากยาฉีดทั่วไป ต้นฉบับ: Day 1 ข้อ 54</t>
  </si>
  <si>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</si>
  <si>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</si>
  <si>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2563 ข้อ 64</t>
  </si>
  <si>
    <t>ข้อใดไม่ใช่การทดสอบเพื่อควบคุมคุณภาพยาฉีด</t>
  </si>
  <si>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</si>
  <si>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2561 ข้อ 39</t>
  </si>
  <si>
    <t>Diazepam IV ไม่จำเป็นต้องทดสอบคุณภาพในหัวข้อใด</t>
  </si>
  <si>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</si>
  <si>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2561 ข้อ 51</t>
  </si>
  <si>
    <t>ข้อใดเป็นข้อกำหนดมาตรฐานในการผลิตยา tetrahydrozoline eye drop</t>
  </si>
  <si>
    <t>Crystallinity</t>
  </si>
  <si>
    <t>Bacterial endotoxin test</t>
  </si>
  <si>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</si>
  <si>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2561 ข้อ 109</t>
  </si>
  <si>
    <t>การบรรจุ insulin ห้องที่บรรจุควรมีความสะอาดตาม clean room grade ใด</t>
  </si>
  <si>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</si>
  <si>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ข้อใดถูกเกี่ยวกับยาฉีดรูปแบบ single dose container ที่มีวิธีเก็บให้พ้นแสงที่ cool temperature</t>
  </si>
  <si>
    <t>เก็บในภาชนะ vial สีชา ที่อุณหภูมิ 2-8 องศาเซลเซียส</t>
  </si>
  <si>
    <t>เก็บในภาชนะ ampule สีชา ที่อุณหภูมิ 2-8 องศาเซลเซียส</t>
  </si>
  <si>
    <t>เก็บในภาชนะ vial สีชา ที่อุณหภูมิ 8-15 องศาเซลเซียส</t>
  </si>
  <si>
    <t>เก็บในภาชนะ ampule สีชา ที่อุณหภูมิ8-15 องศาเซลเซียส</t>
  </si>
  <si>
    <t>เก็บในภาชนะ ampule สีชา ที่อุณหภูมิ 4-8 องศาเซลเซียส</t>
  </si>
  <si>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</si>
  <si>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แก้วประเภทใดเหมาะสมที่สุดในการบรรจุยาฉีด</t>
  </si>
  <si>
    <t>soda-lime glass</t>
  </si>
  <si>
    <t>Borosilicate glass</t>
  </si>
  <si>
    <t>Treated soda-lime glass</t>
  </si>
  <si>
    <t>General NP</t>
  </si>
  <si>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</si>
  <si>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การผสมยาฉีด Amphotericin B กับสารละลาย 0.9% NaCl (Normal Saline Solution: NSS) แล้วส่งผลให้เกิดการตกตะกอน เกิดขึ้นจากกลไกใด?</t>
  </si>
  <si>
    <t>Isomerization</t>
  </si>
  <si>
    <t>Salting out</t>
  </si>
  <si>
    <t>Polymerization</t>
  </si>
  <si>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</si>
  <si>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2558 ข้อ 3</t>
  </si>
  <si>
    <t>การผลิตวัคซีนในรูปแบบผงแห้งตามมาตรฐานอุตสาหกรรม นิยมใช้วิธีการใด?</t>
  </si>
  <si>
    <t>Lyophilization (Freeze drying)</t>
  </si>
  <si>
    <t>Powder sterilization</t>
  </si>
  <si>
    <t>Fluidized bed drying</t>
  </si>
  <si>
    <t>Recombinant technology</t>
  </si>
  <si>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</si>
  <si>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2558 ข้อ 10</t>
  </si>
  <si>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</si>
  <si>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</si>
  <si>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2558 ข้อ 15</t>
  </si>
  <si>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</si>
  <si>
    <t>Water for Injection (WFI)</t>
  </si>
  <si>
    <t>Sterile Water for Injection (SWFI)</t>
  </si>
  <si>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</si>
  <si>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2558 ข้อ 19</t>
  </si>
  <si>
    <t>ในปัจจุบัน ยาฉีดอินซูลิน (Insulin) ที่นำมาใช้รักษาผู้ป่วยเบาหวานในประเทศไทย ผลิตขึ้นผ่านเทคโนโลยีและกระบวนการใดเป็นหลัก?</t>
  </si>
  <si>
    <t>การสกัดจากตับอ่อนของสุกร (Porcine insulin extraction)</t>
  </si>
  <si>
    <t>การสกัดจากตับอ่อนของมนุษย์</t>
  </si>
  <si>
    <t>เทคโนโลยีรีคอมบิแนนท์ดีเอ็นเอ (Recombinant DNA technology)</t>
  </si>
  <si>
    <t>การสังเคราะห์ทางเคมีบริสุทธิ์ (Pure chemical synthesis)</t>
  </si>
  <si>
    <t>การใช้สเต็มเซลล์เพาะเลี้ยง (Stem cell culture)</t>
  </si>
  <si>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</si>
  <si>
    <t>ข้อสอบจริง Product ปี 2558 ข้อ 28</t>
  </si>
  <si>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</si>
  <si>
    <t>ในการดูดยาจาก vial ต้องทำให้ความดันภายใน vial น้อยกว่าภายนอกป้องกันการ leak ของยาออกจาก vial</t>
  </si>
  <si>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</si>
  <si>
    <t>Aspirin 81 mg OD</t>
  </si>
  <si>
    <t>Sacubitril/Valsartan 49/51 mg BID</t>
  </si>
  <si>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</si>
  <si>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ในการผลิตระดับอุตสาหกรรม ต้องใช้น้ำอะไร ในการผลิตยา Furosemide injection ตามฉลากต่อไปนี้</t>
  </si>
  <si>
    <t>Sterile water for irrigation USP</t>
  </si>
  <si>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</si>
  <si>
    <t>ความท้าทายในการควบคุมคุณภาพยา biologics เทียบกับ small molecules drug</t>
  </si>
  <si>
    <t>biologics โครงสร้างซับซ้อนและไวต่อสภาพแวดล้อม เช่น pH ความร้อน</t>
  </si>
  <si>
    <t>biologics มีสูตรเคมีที่ง่ายต่อการสังเคราะห์มากกว่า</t>
  </si>
  <si>
    <t>Small molecules ต้องเก็บในตู้เย็น</t>
  </si>
  <si>
    <t>Small molecules มีผลข้างเคียงมากกว่า</t>
  </si>
  <si>
    <t>Biologics ละลายในน ้าง่ายกว่า</t>
  </si>
  <si>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</si>
  <si>
    <t>Biotech Products</t>
  </si>
  <si>
    <t>Mock PLE-CC 1 ข้อ 35</t>
  </si>
  <si>
    <t>วัคซีนต้องเก็บในcold temp. คือกี่องศาเซลเซียส ตัวเลือก</t>
  </si>
  <si>
    <t>Immunogenicity Neutralizing Antibody Assay</t>
  </si>
  <si>
    <t>Polysorbate 20 surfactant to prevent protein aggregation</t>
  </si>
  <si>
    <t>Histidine Buffer pH 6.0 formulation stability</t>
  </si>
  <si>
    <t>Recombinant DNA Human Insulin in E. coli</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</si>
  <si>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</si>
  <si>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PLE-CC1 ปี 2566 Day 1 ข้อ 39</t>
  </si>
  <si>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</si>
  <si>
    <t>Monoclonal Antibody IgG1 (CHO Cell Expression)</t>
  </si>
  <si>
    <t>Polyethylene Glycol (PEG) Conjugation for extended half-life</t>
  </si>
  <si>
    <t>Lyophilization (Freeze-drying) with Trehalose Cryoprotectant</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</si>
  <si>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</si>
  <si>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ระดับ1 ต้องได้รับวัคซีนป้องกันพิษสุนัขบ้า</t>
  </si>
  <si>
    <t>ELISA Immunoassay for protein quantification</t>
  </si>
  <si>
    <t>SDS-PAGE Gel Electrophoresis purity analysis</t>
  </si>
  <si>
    <t>Isoelectric Focusing (IEF) for charge heterogeneity</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</si>
  <si>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</si>
  <si>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ระดับ3 ต้องได้รับวัคซีนป้องกันพิษสุนัขบ้า ??? ข้อใดผิดเกี่ยวกับRIG</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</si>
  <si>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</si>
  <si>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ต้องฉีดวันเดียวกันกับที่ฉีดวัคซีน</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</si>
  <si>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</si>
  <si>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วัคซีนที่ควรฉีดในคนไข้COPD. ตัวเลือกเพื่อป้องกันstreptococcus</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</si>
  <si>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</si>
  <si>
    <t>PLE-CC1 ปี 2566 Day 2 ข้อ 28</t>
  </si>
  <si>
    <t>Covid-19 vaccine</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</si>
  <si>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</si>
  <si>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เด็กแรกเกิดตองฉีด vaccine อะไรบาง</t>
  </si>
  <si>
    <t>Rabies &amp; ????</t>
  </si>
  <si>
    <t>Tetanus, Hepatitis B</t>
  </si>
  <si>
    <t>Hepatitis B, BCG</t>
  </si>
  <si>
    <t>BCG, MMR</t>
  </si>
  <si>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</si>
  <si>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PLE_CC1_2565_Day1_Key ข้อ 53</t>
  </si>
  <si>
    <t>ขั้นตอนสุดทายของการรองรับรุ;นการผลิตของวัคซีนคืออะไร</t>
  </si>
  <si>
    <t>ไม;ตองมี ถาไดขึ้นทะเบียนยา</t>
  </si>
  <si>
    <t>ตองผ;านการตรวจสอบ QC ของบริษัทยา</t>
  </si>
  <si>
    <t>ตองผ;านการตรวจสอบกรมควบคุมโรค</t>
  </si>
  <si>
    <t>ตองผ;านการตรวจสอบอ.ย.</t>
  </si>
  <si>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</si>
  <si>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</si>
  <si>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PLE_CC1_2565_Day1_Key ข้อ 56</t>
  </si>
  <si>
    <t>ผู้ป่วยรายนี้ควรได้รับการหีด vaccine ตัวไหน เพื่อป้อษกันการเกิด asthma exacerbation</t>
  </si>
  <si>
    <t>Pneumococcal vaccine</t>
  </si>
  <si>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</si>
  <si>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</si>
  <si>
    <t>PLE_CC1_2563_Q ข้อ 92</t>
  </si>
  <si>
    <t>กระบวนการใดเหมาะสมในการผลิต trastuzumab powder for infusion ซึ่งเป็นชนิด monoclonal antibody เช่น</t>
  </si>
  <si>
    <t>Infrared drying</t>
  </si>
  <si>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</si>
  <si>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58 (PLE_CC1_2562_Key.md)</t>
  </si>
  <si>
    <t>Insulin ได้จากการท้า Recombinant DNA ข้อใดถูกต้อง</t>
  </si>
  <si>
    <t>เอา Beta-cell ไปเพาะเลี ยงในหลอดทดลอง แล้วสกัด Insulin ออกมา</t>
  </si>
  <si>
    <t>เอายีนที่สร้าง Insulin ของคน ไปท้า PCR แล้วเก็บเกี่ยวโปรตีน</t>
  </si>
  <si>
    <t>ตัดต่อยีนสร้าง Insulin ให้กับยีสต์ แล้วเอายีสต์ไปเลี ยง เพื่อให้สร้าง Insulin ออกมา</t>
  </si>
  <si>
    <t>ใช้ Agrobacteria น้าส่งยีนที่ต้องการไปสู่เซลล์ของสัตว์ทดลอง ให้ผลิต Insulin</t>
  </si>
  <si>
    <t>สกัด Insulin จากสัตว์ทดลอง แล้วน้าไปตัดต่อโครงสร้างแล้วเอาไปใช้ในคน</t>
  </si>
  <si>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</si>
  <si>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วัคซีนที่ให้เด็กตั งแต่แรกเกิดคือ</t>
  </si>
  <si>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</si>
  <si>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33 (PLE_CC1_2559.md)</t>
  </si>
  <si>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</si>
  <si>
    <t>DTwP</t>
  </si>
  <si>
    <t>Hib vaccine</t>
  </si>
  <si>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</si>
  <si>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34 (PLE_CC1_2559.md)</t>
  </si>
  <si>
    <t>วัคซีนใดจัดอยู่ในกลุ่มเดียวกับ JE</t>
  </si>
  <si>
    <t>IPV</t>
  </si>
  <si>
    <t>DT vaccine</t>
  </si>
  <si>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</si>
  <si>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35 (PLE_CC1_2559.md)</t>
  </si>
  <si>
    <t>ข้อใดคือผลข้างเคียงของวัคซีนไอกรนในผู้ใหญ่</t>
  </si>
  <si>
    <t>ไตวาย</t>
  </si>
  <si>
    <t>ภาวะหัวใจล้มเหลว</t>
  </si>
  <si>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</si>
  <si>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36 (PLE_CC1_2559.md)</t>
  </si>
  <si>
    <t>วัคซีน OPV ควรเก็บที่ใด</t>
  </si>
  <si>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</si>
  <si>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37 (PLE_CC1_2559.md)</t>
  </si>
  <si>
    <t>วัคซีนที่มีส่วนผสมของ aluminum เป็น adjuvant สามารถบริหารได้ทางใด</t>
  </si>
  <si>
    <t>IM</t>
  </si>
  <si>
    <t>SC</t>
  </si>
  <si>
    <t>ID</t>
  </si>
  <si>
    <t>IM + SC</t>
  </si>
  <si>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</si>
  <si>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39 (PLE_CC1_2559.md)</t>
  </si>
  <si>
    <t>ตาม EPI เด็กอายุ 6 เดือนต้องได้รับ vaccine ได้บ้าง</t>
  </si>
  <si>
    <t>HBV/dTP/OPV</t>
  </si>
  <si>
    <t>MMR/dTP/JE</t>
  </si>
  <si>
    <t>BCG/MMR/OPV</t>
  </si>
  <si>
    <t>MMR/JE/IPV</t>
  </si>
  <si>
    <t>JE/OPV/dTP</t>
  </si>
  <si>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</si>
  <si>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38 (PLE_CC1_2558_Key.md)</t>
  </si>
  <si>
    <t>วันนี้ เด็กรายนี้ต้องได้รับวัคซีนหรือไม่</t>
  </si>
  <si>
    <t>ไม่ต้องได้รับ เนื่องจากมีภูมิจากการติดเชื้อ</t>
  </si>
  <si>
    <t>ให้เนื่องจาก EPI กำหนด</t>
  </si>
  <si>
    <t>ให้เลื่อนการรับวัคซีน ออกไปก่อน</t>
  </si>
  <si>
    <t>ให้ เนื่องจากอาการผื่นชัดเจน</t>
  </si>
  <si>
    <t>ไม่ให้ เนื่องจากอายุยังไม่ครบตามกำหนด</t>
  </si>
  <si>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</si>
  <si>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39 (PLE_CC1_2558_Key.md)</t>
  </si>
  <si>
    <t>การผลิตวัคซีนรูปแบบผงแห้งทำอย่างไร</t>
  </si>
  <si>
    <t>Spray dry</t>
  </si>
  <si>
    <t>Lyophilized</t>
  </si>
  <si>
    <t>Fluid base dryer</t>
  </si>
  <si>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</si>
  <si>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41 (PLE_CC1_2558_Key.md)</t>
  </si>
  <si>
    <t>วัคซีนใดไม่อยู่ใน EPI</t>
  </si>
  <si>
    <t>PCV</t>
  </si>
  <si>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</si>
  <si>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วัคซีนป้องกันพิษสุนัขบ้าจัดเป็นวัคซีนประเภทใด</t>
  </si>
  <si>
    <t>Lived vaccine</t>
  </si>
  <si>
    <t>Adjuvant</t>
  </si>
  <si>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</si>
  <si>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</si>
  <si>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วัคซีนในข้อใดจำเป็นน้อยที่สุดในผู้ป่วย COPD</t>
  </si>
  <si>
    <t>Tdap</t>
  </si>
  <si>
    <t>PCV13</t>
  </si>
  <si>
    <t>HAV</t>
  </si>
  <si>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</si>
  <si>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40 (Pharmtutor_2024_Set1.md)</t>
  </si>
  <si>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</si>
  <si>
    <t>Td (Purified diphtheria toxoid 1-2 Lf และ Purified tetanus toxoid 5-10 Lf เข็มเข้ากล้าม</t>
  </si>
  <si>
    <t>Td (Purified diphtheria toxoid 1-2 Lf และ Purified tetanus toxoid 5-10 Lf เข็มเข้ากล้าม 3 ครั้งวันที่ 0, 1 เดือน, 6 เดือน</t>
  </si>
  <si>
    <t>DT (Purified diphtheria toxoid 25-30 Lf และ Purified tetanus toxoid 5-10 Lf) เข็มเข้ากล้าม</t>
  </si>
  <si>
    <t>DT (Purified diphtheria toxoid 25-30 Lf และ Purified tetanus toxoid 5-10 Lf) เข็มเข้ากล้าม 3 ครั้ง วันที่ 0, 1 เดือน, 6 เดือน</t>
  </si>
  <si>
    <t>DTw (diphtheria, tetanus toxoids, whole-cell pertussis vaccines) ฉีดเข้ากล้าม วันที่ 0,1 เดือน, 6 เดือน</t>
  </si>
  <si>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</si>
  <si>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40 (Pharmtutor_2024_Set2.md)</t>
  </si>
  <si>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</si>
  <si>
    <t>TdaP</t>
  </si>
  <si>
    <t>Influenza Vaccine</t>
  </si>
  <si>
    <t>SarCoV2 Vaccine</t>
  </si>
  <si>
    <t>Pneumococcal Vaccine</t>
  </si>
  <si>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</si>
  <si>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41 (Pharmtutor_2024_Set2.md)</t>
  </si>
  <si>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</si>
  <si>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</si>
  <si>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23 (PLE_CC1_2557.md)</t>
  </si>
  <si>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</si>
  <si>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</si>
  <si>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82 (PLE_CC1_2557.md)</t>
  </si>
  <si>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</si>
  <si>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</si>
  <si>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84 (PLE_CC1_2557.md)</t>
  </si>
  <si>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</si>
  <si>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</si>
  <si>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85 (PLE_CC1_2557.md)</t>
  </si>
  <si>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</si>
  <si>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</si>
  <si>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86 (PLE_CC1_2557.md)</t>
  </si>
  <si>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</si>
  <si>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</si>
  <si>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87 (PLE_CC1_2557.md)</t>
  </si>
  <si>
    <t>Vaccine ในรูปผงแห้ง ควรมีการจัดเก็บอย่างไร (1) .... จำตัวเลือกไม่ได้ .....</t>
  </si>
  <si>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</si>
  <si>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88 (PLE_CC1_2557.md)</t>
  </si>
  <si>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</si>
  <si>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</si>
  <si>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89 (PLE_CC1_2557.md)</t>
  </si>
  <si>
    <t>วัคซีนใดที่ต้องให้ในเด็กแรกเกิด</t>
  </si>
  <si>
    <t>วัคซีนวัณโรค</t>
  </si>
  <si>
    <t>วัคซีนไข้หวัดใหญ่</t>
  </si>
  <si>
    <t>วัคซีนหัดเยอรมัน หัด คางทูม</t>
  </si>
  <si>
    <t>วัคซีนคอตีบ ไอกรน บาดทะยัก</t>
  </si>
  <si>
    <t>วัคซีนไวรัสตับอักเสบเอ</t>
  </si>
  <si>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</si>
  <si>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11 (PLE_CC1_2555 Day 1.md)</t>
  </si>
  <si>
    <t>วัคซีนใดไม่ได้อยู่ในวัคซีนมาตรฐานที่เด็กไทยต้องได้รับ</t>
  </si>
  <si>
    <t>Hep A</t>
  </si>
  <si>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</si>
  <si>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 (PLE_CC1_2555 Day 1.md)</t>
  </si>
  <si>
    <t>หน้าที่ของ adjuvant เช่น alum ใส่ไปในวัคซีนเพื่ออะไร</t>
  </si>
  <si>
    <t>เพิ่มการกระตุ้นภูมิคุ้มกันของวัคซีน</t>
  </si>
  <si>
    <t>เพิ่มการดูดซึมของวัคซีน</t>
  </si>
  <si>
    <t>เพิ่มความคงตัว</t>
  </si>
  <si>
    <t>ลดผลข้างเคียงที่อาจเกิดขึ้นจากวัคซีน</t>
  </si>
  <si>
    <t>ลดปริมาณการใช้วัคซีน</t>
  </si>
  <si>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</si>
  <si>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14 (PLE_CC1_2555 Day 1.md)</t>
  </si>
  <si>
    <t>การรับวัคซีน DTP แบบ 3 เข็ม ต้องให้ห่างกันกี่เดือน</t>
  </si>
  <si>
    <t>6 เดือน คณะเภสัชศาสตร์ มหาวิทยาลัยเชียงใหม่ Rx 44 CMU</t>
  </si>
  <si>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มหาวิทยาลัยเชียงใหม่ Rx 44 CMU): 6 เดือน คณะเภสัชศาสตร์ มหาวิทยาลัยเชียงใหม่ Rx 44 CMU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</si>
  <si>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 (PLE_CC1_2555 Day 1.md)</t>
  </si>
  <si>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</si>
  <si>
    <t>รับวัคซีนก่อนไปเมืองนอก</t>
  </si>
  <si>
    <t>เริ่มรับวัคซีนใหม่ตั้งแต่เข็มแรก</t>
  </si>
  <si>
    <t>รับวัคซีนหลังจากกลับมาจากเมืองนอก</t>
  </si>
  <si>
    <t>.....................</t>
  </si>
  <si>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</si>
  <si>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 (PLE_CC1_2555 Day 1.md)</t>
  </si>
  <si>
    <t>ถ้าได้รับวัคซีนจะกระตุ้มภูมิคุ้มกันชนิดใดก่อนเป็นอันดับแรก</t>
  </si>
  <si>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</si>
  <si>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17 (PLE_CC1_2555 Day 1.md)</t>
  </si>
  <si>
    <t>ลดปัญหาการดื้อยา MCQ 1/2555 by CURx69 page 20 Case 11: Vaccine</t>
  </si>
  <si>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</si>
  <si>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เด็กแรกเกิดต้องฉีดวัคซีนป้องกันโรคอะไร</t>
  </si>
  <si>
    <t>วัคซีนไข้สมองอักเสบ</t>
  </si>
  <si>
    <t>วัคซีนหัด คางทูม หัดเยอรมัน</t>
  </si>
  <si>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</si>
  <si>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</si>
  <si>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 DTP ต้องฉีดห่างกันกี่เดือน</t>
  </si>
  <si>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</si>
  <si>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ให้ข้ามวัคซีนเข็มที่ 3 ไปเลยไม่ต้องฉีด</t>
  </si>
  <si>
    <t>ไม่ต้องฉีดแล้ว เพราะวัคซีน HepB ฉีดแค่สองเข็ม MCQ 1/2555 by CURx69 page 21</t>
  </si>
  <si>
    <t>การทดสอบวัคซีนโดยฉีดเข้าเส้นเลือดที่หูกระต่ายแล้ววัดไข้เรียกว่า</t>
  </si>
  <si>
    <t>ใส่ Alum ใน Vaccine เพื่อเป็น Adjuvant มีประโยชน์อย่างไร</t>
  </si>
  <si>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</si>
  <si>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เพิ่มความคงตัวของวัคซีน</t>
  </si>
  <si>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</si>
  <si>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ควรใช้วิธีใดในการทำให้วัคซีนประศจากเชื้อ</t>
  </si>
  <si>
    <t>วัคซีนใดต้องเก็บในช่องแช่แข็งเพื่อความคงตัวของวัคซีน</t>
  </si>
  <si>
    <t>วัคซีนที่ฉีดเพื่อป้องกันการติดเชื้อวัณโรคในเด็กแรกเกิดและเป็นวัคซีนพื้นฐานของประเทศไทย ข้อใดกล่าว ถูกต้อง</t>
  </si>
  <si>
    <t>BCG เป็นวัคซีนเชื้อเป็น (live attenuated vaccine)</t>
  </si>
  <si>
    <t>BCG เป็นวัคซีนชนิด toxoid</t>
  </si>
  <si>
    <t>BCG เป็นวัคซีนชนิด subunit vaccine</t>
  </si>
  <si>
    <t>Tuberculin เป็นวัคซีนเชื้อเป็น (live attenuated vaccine)</t>
  </si>
  <si>
    <t>Tuberculin เป็นวัคซีนชนิด toxoid</t>
  </si>
  <si>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</si>
  <si>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วัคซีนใดไม่ได้จัดอยู่ในระบบ expanded program of immunization of Thailand</t>
  </si>
  <si>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</si>
  <si>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ข้อใดถูกต้องเกี่ยวกับข้อควรทราบก่อนให้วัคซีน</t>
  </si>
  <si>
    <t>ไม่ให้วัคซีนเชื้อเป็นในหญิงตั้งครรภ์</t>
  </si>
  <si>
    <t>Dose ของวัคซีนขึ้นกับน้ำหนัก</t>
  </si>
  <si>
    <t>ส่วนประกอบในวัคซีนมีผลน้อยมากต่อการพิจารณาในการให้วัคซีน</t>
  </si>
  <si>
    <t>เด็กที่เคยชักจากไข้สูง สามารถให้วัคซีนได้ตามปกติ</t>
  </si>
  <si>
    <t>ในผู้ป่วยที่มีภูมิคุ้มกันบกพร่องควรให้วัคซีนเชื้อเป็นเพราะสามารถกระตุ้นภูมิคุ้มกัืนได้ดี หัวข้อเรื่อง ยามาลาเรีย</t>
  </si>
  <si>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</si>
  <si>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ข้อใดต่อไปนี้ไม่ใช่ Adverse event following immunization (AEFI) หรือภาวะผิดปกติที่เกิดขึ้นจาก การฉีดวัคซีน</t>
  </si>
  <si>
    <t>Programmatic error</t>
  </si>
  <si>
    <t>Vaccine reaction</t>
  </si>
  <si>
    <t>Coincidental events</t>
  </si>
  <si>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</si>
  <si>
    <t>Resistant reaction</t>
  </si>
  <si>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</si>
  <si>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</si>
  <si>
    <t>นางปอยฝ้ายไม่สามารถรับการฉีดวัคซีนได้ เนื่องจากจะเกิดอันตรายต่อทารกในครรภ์</t>
  </si>
  <si>
    <t>นางปอยฝ้ายต้องรับการฉีดวัคซีน 3 คั้ง โดยจะฉีดเดือนที่ 1,2,6</t>
  </si>
  <si>
    <t>นางปอยฝ้ายควรได้รีบการฉีดวัคซีน 3 ครั้ง โดยจะฉีดเดือนที่ 0,1,7</t>
  </si>
  <si>
    <t>นางปอยฝ้ายควรได้รับการฉีดวัคซีน 1 ครั้ง ระหว่างตั้งครรภ์</t>
  </si>
  <si>
    <t>นางปอยฝ้ายควรได้รับการฉีดวัคซีน 2 ครั้ง หลังตั้งครรภ์ทันที 1 เข็มและเข็มที่ 2 ห่างจากเข็มแรก 1 เดือน</t>
  </si>
  <si>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</si>
  <si>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</si>
  <si>
    <t>ฉีด HBV , ได้รับวัคซีนไวรัสตับอักเสบบีในเดือน 0-1-6</t>
  </si>
  <si>
    <t>ฉีด HBIG , ได้รับวัคซีนไวรัสตับอักเสบบีในเดือน 0-1-6</t>
  </si>
  <si>
    <t>ฉีด HBIG , ได้รับวัคซีนไวรัสตับอักเสบบีในเดือน 0-3-6</t>
  </si>
  <si>
    <t>ฉีด DTP-HB , ได้รับวัคซีนไวรัสตับอักเสบบีในเดือน 0-1-6</t>
  </si>
  <si>
    <t>ฉีด DTP-HBIG , ได้รับวัคซีนไวรัสตับอักเสบบีในเดือน 0-3-6 สถานการณ์ที่2 จากวัคซีนที่เลือกในข้อแรก เป็นวัคซีนเชื้อชนิดใด</t>
  </si>
  <si>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</si>
  <si>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</si>
  <si>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</si>
  <si>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</si>
  <si>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</si>
  <si>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</si>
  <si>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ลดปัญหาการดื้อยา เรื่องที่ 11 Vaccine</t>
  </si>
  <si>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</si>
  <si>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</si>
  <si>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ไม่ต้องฉีดแล้ว เพราะวัคซีน HepB ฉีดแค่สองเข็ม เนื่องจากเด็กทุกคนต้องได้รับอย่างน้อย 3 ครั้งถ้าไม่มีข้อห้ามและเข็มสุดท้าย</t>
  </si>
  <si>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</si>
  <si>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</si>
  <si>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</si>
  <si>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ควรใช้วิธีใดในการทาให้วัคซีนประศจากเชื้อ</t>
  </si>
  <si>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</si>
  <si>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 BCG เปญนชนิดใด</t>
  </si>
  <si>
    <t>เชื้อเปญน</t>
  </si>
  <si>
    <t>เชื้อตายทั้งหมด</t>
  </si>
  <si>
    <t>เชื้อตายบางสGวน</t>
  </si>
  <si>
    <t>toxoid</t>
  </si>
  <si>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</si>
  <si>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วัคซีนใดที่ฉีดในเด็กอายุ 6 เดือน</t>
  </si>
  <si>
    <t>HBV, DTP, OPV</t>
  </si>
  <si>
    <t>MMR, DTP, OPV</t>
  </si>
  <si>
    <t>BCG, HBV, DTP</t>
  </si>
  <si>
    <t>JE, HBV, OPV</t>
  </si>
  <si>
    <t>MMR, JE,DTP</t>
  </si>
  <si>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</si>
  <si>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ถ้าวันนี้เป็นวันครบกำหนดฉีดวัคซีนพอดี จะฉีดวัคซีนให้เด็กรายนี้หรือไม่เพราะเหตุใด</t>
  </si>
  <si>
    <t>ฉีดให้ แต่ฉีดวัคซีนเชื้อเป็นและเชื้อตายคนละตำแหน่ง</t>
  </si>
  <si>
    <t>ฉีดให้เฉพาะเชื้อตาย</t>
  </si>
  <si>
    <t>ไม่ฉีดให้เนื่องจากได้รับหรือสร้างภูมิแล้ว</t>
  </si>
  <si>
    <t>ไม่ฉีดให้เนื่องจากมีไข้สูง</t>
  </si>
  <si>
    <t>ไม่ฉีดให้เนื่องจากเป็นวัคซีนผสมหลายชนิด</t>
  </si>
  <si>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</si>
  <si>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ข้อใดคือน้ำที่ใชในการผลิตวัคซีนที่ใช้ในระดับอุตสาหกรรม</t>
  </si>
  <si>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</si>
  <si>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ฉีดให้ แต่ฉีดวัคซีนเชื้อเป็นและเชื้อตายคนละ ตำแหน่งกัน</t>
  </si>
  <si>
    <t>ไม่ฉีดให้ เนื่องจากเป็นวัคซีนผสมหลายชนิด</t>
  </si>
  <si>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</si>
  <si>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การได้รับวัคซีนซ้ำจะทำให้ระดับวัคซีนมากพอจน สามารถกระตุ้นภูมิได้มากขึ้น</t>
  </si>
  <si>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</si>
  <si>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การฉีดวัคซีนซ้ำจะทำให้สามารถสร้าง antibody บางชนิดได้มากขึ้น</t>
  </si>
  <si>
    <t>การฉีดวัคซีนก้อนกำหนดจะช่วยให้ภูมิคุมกันขึ้นได้ เร็วขึ้นและจำนวนมากขึ้น</t>
  </si>
  <si>
    <t>การเลื่อนฉีดวัคซีนช้ากว่ากำหนดจะทำให้การสร้าง antibody ลดลง</t>
  </si>
  <si>
    <t>ข้อใดคือน้ำที่ใช้ในการผลิตวัคซีนที่ใช้ในระดับอุตสาหกรรม</t>
  </si>
  <si>
    <t>recombinant DNA</t>
  </si>
  <si>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</si>
  <si>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</si>
  <si>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ถามเกี่ยวกับการฉีดวัคซีน ขอใดกลาวผิด</t>
  </si>
  <si>
    <t>หากสุนัขไม่ตายภายใน 10 วันให้หยุดการฉีดวัคซีนได้</t>
  </si>
  <si>
    <t>วัคซีนพิษสุนัขบ้าชนิดฉีดเข้ากล้ามเนื้อสามารถเปลี่ยนไปใชผลิตภัณฑของบริษัทผู้ผลิตอื่นได้</t>
  </si>
  <si>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</si>
  <si>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</si>
  <si>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วัคซีนบาดทะยักเปนวัคซีนประเภทใด</t>
  </si>
  <si>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</si>
  <si>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Lived atenuated vaccine</t>
  </si>
  <si>
    <t>Killed whole cell vaccine</t>
  </si>
  <si>
    <t>Subunit vaccine</t>
  </si>
  <si>
    <t>Acellular vaccine</t>
  </si>
  <si>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</si>
  <si>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หากแพทยตองการสั่งฉีดวัคซีนบาดทะยักในผูปวยราย นี้ ขอใดถูกตอง</t>
  </si>
  <si>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</si>
  <si>
    <t>ขอใดถูกเกี่ยวกับการฉีดวัคซีนพิษสุนัขบ้า</t>
  </si>
  <si>
    <t>หากจะฉีด Equine Ig พร้อมกับวัคซีนพิษสุนัขบ้า ใหฉีดที่แขนข้างเดียวกัน ตอบ 1 recall</t>
  </si>
  <si>
    <t>หากไมทราบประวัติการไดรับวัคซีน ควรไดรับการฉีดวัคซีนอยางไร</t>
  </si>
  <si>
    <t>ฉีดวัคซีนบาดทะยัก</t>
  </si>
  <si>
    <t>ฉีดวัคซีนปองกันพิษสุนัขบา</t>
  </si>
  <si>
    <t>ฉีดอิมมูโนโกลบูลิน และ วัคซีนปองกันพิษสุนัขบา</t>
  </si>
  <si>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</si>
  <si>
    <t>ข้อใดถูกต้องเกี่ยวกับ Insulin ที่ได้จากการทำ Recombinant DNA</t>
  </si>
  <si>
    <t>นำ Beta-cell ไปเพาะเลี้ยงในหลอดทดลอง แล้วสกัด Insulin ออกมา</t>
  </si>
  <si>
    <t>นำยีนที่สร้าง Insulin ของคน ไปทำ PCR แล้วเก็บเกี่ยวโปรตีน</t>
  </si>
  <si>
    <t>ตัดต่อยีนสร้าง Insulin ให้กับยีสต์ แล้วเอายีสต์ไปเลี้ยง เพื่อให้สร้าง Insulin ออกมา</t>
  </si>
  <si>
    <t>ใช้ Agrobacteria นำส่งยีนที่ต้องการไปสู่เซลล์ของสัตว์ทดลอง ให้ผลิต Insulin</t>
  </si>
  <si>
    <t>สกัด Insulin จากสัตว์ทดลองไปตัดต่อโครงสร้าง แล้วนำมาใช้ในคน</t>
  </si>
  <si>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</si>
  <si>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ข้อใดไม่ใช่ปัจจัยที่มีผลต่อการเกิด Immunogenicity ของยาชีววัตถุ (Biological Products)</t>
  </si>
  <si>
    <t>โครงสร้างที่ไม่คล้ายกับ Human endogenous</t>
  </si>
  <si>
    <t>การเกิดการเสื่อมสลายและการรวมกลุ่มของ protein</t>
  </si>
  <si>
    <t>Excipient ของ formulation ที่ส่งผลต่อการเปลี่ยนแปลง conformation</t>
  </si>
  <si>
    <t>ขนาดและความถี่ในการให้ยา</t>
  </si>
  <si>
    <t>อัตราการให้เข้าสู่ systemic circulation ที่น้อยกว่า IV bolus</t>
  </si>
  <si>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</si>
  <si>
    <t>Mock PLE-CC 1 ข้อ 64</t>
  </si>
  <si>
    <t>ข้อใดเป็น excipients ที่นิยมใช้ใน formulation ของ injectable monoclonal antibody เพื่อลดการเกิด aggregation และเพิ่ม stability</t>
  </si>
  <si>
    <t>Sodium Chloride</t>
  </si>
  <si>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</si>
  <si>
    <t>Mock PLE-CC 1 ข้อ 73</t>
  </si>
  <si>
    <t>ข้อใดคือลักษณะและข้อกำหนดที่ถูกต้องของการขึ้นทะเบียนยาชีววัตถุคล้ายคลึง (Biosimilar) เทียบกับ Reference biological drug</t>
  </si>
  <si>
    <t>ใช้เกณฑ์มาตรฐานเดียวกับยาชื่อสามัญ (Generic drug) โดยทดสอบเพียงการละลายในหลอดทดลอง</t>
  </si>
  <si>
    <t>ต้องแสดงข้อมูล Biosimilar comparability ครบถ้วนทั้ง Quality, Safety และ Clinical Efficacy</t>
  </si>
  <si>
    <t>ไม่ต้องทำการทดสอบ Clinical และ Non-clinical หากกระบวนการหมักเหมือนเดิม</t>
  </si>
  <si>
    <t>ไม่ต้องแสดงข้อมูล Immunogenicity เพราะถือว่าเป็นโปรตีนที่เหมือนกับต้นแบบ 100%</t>
  </si>
  <si>
    <t>ถือว่าเป็น generic drug ของยา Reference เพราะมีโครงสร้างโปรตีนขนาดเล็กคล้ายกัน</t>
  </si>
  <si>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</si>
  <si>
    <t>Mock PLE-CC 1 ข้อ 82</t>
  </si>
  <si>
    <t>สารก่อฟิล์ม ในการเคลือบเม็ดยา</t>
  </si>
  <si>
    <t>Hypromellose (HPMC) ✅ Film-forming agent</t>
  </si>
  <si>
    <t>Macrogol 400 (PEG 400\) ❌ Plasticizer</t>
  </si>
  <si>
    <t>Carnauba wax ❌ Polishing agent</t>
  </si>
  <si>
    <t>Dibutyl phthalate ❌ Plasticizer</t>
  </si>
  <si>
    <t>SiO₂ (Colloidal silicon dioxide) ❌ Glidant/Anti-caking agent</t>
  </si>
  <si>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</si>
  <si>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Biotechnology &amp; Biological Products</t>
  </si>
  <si>
    <t>ข้อสอบจริง Product ปี 2564 ข้อ 66</t>
  </si>
  <si>
    <t>สารก่อฟิล์ม ในการเคลือบเม็ดยา ต้นฉบับ: Day 2 ข้อ 20</t>
  </si>
  <si>
    <t>Macrogol 400</t>
  </si>
  <si>
    <t>Carnauba wax</t>
  </si>
  <si>
    <t>Dibutyl phthalate</t>
  </si>
  <si>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</si>
  <si>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</si>
  <si>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ข้อสอบจริง Product ปี 2563 ข้อ 28</t>
  </si>
  <si>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</si>
  <si>
    <t>ความปลอดภัย</t>
  </si>
  <si>
    <t>ราคา</t>
  </si>
  <si>
    <t>ขนาดยา</t>
  </si>
  <si>
    <t>ระยะเวลาในการใช้งาน</t>
  </si>
  <si>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</si>
  <si>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</si>
  <si>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หากลูกค้าที่ซื้อยา กลับมาที่ร้านแล้วพบว่ายาเคลือบน้ำตาล dextromethorphan นั่นเป็นจุดด่าง ข้อใดถูกต้อง</t>
  </si>
  <si>
    <t>เรียกว่า chipping</t>
  </si>
  <si>
    <t>นิยมใช้สีที่ไม่ละลายน้ำเพื่อลดสีย้ายที่</t>
  </si>
  <si>
    <t>การใช้สีละลายน้ำสามารถลดปัญหาสีย้ายที่</t>
  </si>
  <si>
    <t>การเคลือบสีมักใช้ผสมกับ carnauba wax</t>
  </si>
  <si>
    <t>เกิดจากการทำการเคลือบสีในขั้นตอน sealing</t>
  </si>
  <si>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</si>
  <si>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ข้อสอบจริง Product ปี 2561 ข้อ 57</t>
  </si>
  <si>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</si>
  <si>
    <t>[แนบรูป: ข้อสอบ Product ปี 2561 รหัสรูปภาพ image112]</t>
  </si>
  <si>
    <t>แกน X เป็นความเข้มข้นของสาร B</t>
  </si>
  <si>
    <t>กราฟที่ได้มาตรฐาน ควรมีจุดไม่เกิน 3 จุด</t>
  </si>
  <si>
    <t>แกน Y คืออัตราส่วนระหว่างความเข้มข้นสาร A และ B</t>
  </si>
  <si>
    <t>การมี internal standard solution ทำให้ค่า R² ห่างจาก 1 มากขึ้น</t>
  </si>
  <si>
    <t>ผลกราฟที่ได้ แสดงว่าสารไม่ได้มาตรฐาน เนื่องจาก linearity ไม่ได้มาตรฐาน</t>
  </si>
  <si>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</si>
  <si>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ข้อสอบจริง Product ปี 2561 ข้อ 94</t>
  </si>
  <si>
    <t>Insulin gargine ผลิตมาจากอะไร</t>
  </si>
  <si>
    <t>Recombinant DNA E.coli</t>
  </si>
  <si>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</si>
  <si>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Vaccine ที่มีส่วนผสมของ aluminium เป็น adjuvant สามารถบริหารได้ทางใด</t>
  </si>
  <si>
    <t>IM \+ SC</t>
  </si>
  <si>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</si>
  <si>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Vaccine ใดจัดอยู่ในกลุ่มเดียวกับ JE</t>
  </si>
  <si>
    <t>MMT</t>
  </si>
  <si>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</si>
  <si>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</si>
  <si>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ข้อใดกล่าว ไม่ถูกต้อง เกี่ยวกับมาตรการความปลอดภัยและสถานที่ในการเตรียมยาเคมีบำบัด (Chemotherapy compounding) ในสถาบันการพยาบาล?</t>
  </si>
  <si>
    <t>ต้องจัดเตรียมยาในสภาวะแวดล้อมที่ห้องควบคุมความดันเป็นบวก (Positive pressure room)</t>
  </si>
  <si>
    <t>ต้องทำภายในตู้ปลอดภัยทางชีวภาพ (Biological Safety Cabinet: BSC Class II Type B2) หรือตู้แบบปิด (Isolator)</t>
  </si>
  <si>
    <t>เจ้าหน้าที่ผู้เตรียมยาต้องสวมใส่ชุดสวมคลุมป้องกันชนิดปราศจากขุย (Lint-free protective gown)</t>
  </si>
  <si>
    <t>หลีกเลี่ยงหรือห้ามไม่ให้สตรีมีครรภ์เข้ามามีส่วนร่วมในการเตรียมผสมเคมีบำบัด</t>
  </si>
  <si>
    <t>ต้องเก็บกักและติดป้ายแสดงสัญญาณเตือนสารอันตรายรอบบริเวณเตรียมการวิเคราะห์อย่างเข้มงวด</t>
  </si>
  <si>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</si>
  <si>
    <t>ข้อสอบจริง Product ปี 2558 ข้อ 27</t>
  </si>
  <si>
    <t>สมุนไพรใดต่อไปนี้ สามารถใช้รักษาเชื้อราได้</t>
  </si>
  <si>
    <t>ทิงเจอร์ทองพันชั่ง</t>
  </si>
  <si>
    <t>โลชั่นเลดพังพอน</t>
  </si>
  <si>
    <t>ทิงเจอร์ไพล</t>
  </si>
  <si>
    <t>ครีมใบบับก</t>
  </si>
  <si>
    <t>ครีมเม็ดน้อยน่า</t>
  </si>
  <si>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</si>
  <si>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Herbal Products &amp; Standardization</t>
  </si>
  <si>
    <t>ข้อสอบจริง Product ปี 2567 ข้อ 11</t>
  </si>
  <si>
    <t>ส่วนประกอบของ MDI ส่วนใดที่ควบคุมการปรับละอองฝอยของยา</t>
  </si>
  <si>
    <t>[แนบรูป: ข้อสอบ Product ปี 2564 รหัสรูปภาพ image69]</t>
  </si>
  <si>
    <t>Actuator – ตัวครอบพลาสติกที่ใช้กดพ่นยาและนำละอองยาเข้าสู่ปาก มีช่องพ่นยา (mouthpiece) อยู่ในชิ้นส่วนนี้</t>
  </si>
  <si>
    <t>Metered valve – วาล์วจ่ายยา ทำหน้าที่ควบคุมให้ยาถูกพ่นออกมาในปริมาณที่แน่นอนทุกครั้งที่กด และเป็นส่วนปรับละอองฝอยของยาด้วย</t>
  </si>
  <si>
    <t>Mouthpiece – ช่องสำหรับอมและสูดดมยาเข้าสู่ทางเดินหายใจ</t>
  </si>
  <si>
    <t>Canister – กระป๋องบรรจุยา ภายในบรรจุตัวยาและสารขับดัน (propellant) เพื่อช่วยพ่นยาออกมาเป็นละออง</t>
  </si>
  <si>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</si>
  <si>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</si>
  <si>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2</t>
  </si>
  <si>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</si>
  <si>
    <t>ผ่านเกณฑ์มาตรฐาน เนื่องจากมีค่าไม่เกิน 5×10^7</t>
  </si>
  <si>
    <t>ผ่านเกณฑ์มาตรฐาน เนื่องจากมีค่าไม่เกิน 5×10^4</t>
  </si>
  <si>
    <t>ไม่ผ่านเกณฑ์มาตรฐาน เนื่องจากมีค่าเกิน 5×10^3</t>
  </si>
  <si>
    <t>ไม่ผ่านเกณฑ์มาตรฐาน เนื่องจากต้องตรวจไม่พบใน 10 g</t>
  </si>
  <si>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</si>
  <si>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</si>
  <si>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86</t>
  </si>
  <si>
    <t>สมุนไพรใดสามารถบรรเทาอาการปวดได้</t>
  </si>
  <si>
    <t>ประสะกระเพรา ❌ ใช้เกี่ยวกับอาการท้องอืด ท้องเฟ้อ ขับลม</t>
  </si>
  <si>
    <t>ยาผสมเถาวัลย์เปรียง ✅ บรรเทาอาการปวดกล้ามเนื้อ/ข้อ</t>
  </si>
  <si>
    <t>ขิง ❌ เด่นด้านแก้คลื่นไส้ ขับลม ลดอักเสบเล็กน้อย</t>
  </si>
  <si>
    <t>พญาสัตบรรณ ❌ ใช้ตามภูมิปัญญา ไม่ใช่ตัวหลักสำหรับแก้ปวด</t>
  </si>
  <si>
    <t>เหง้าข่า ❌ ใช้ขับลม แก้ท้องอืด</t>
  </si>
  <si>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</si>
  <si>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170</t>
  </si>
  <si>
    <t>ตามสาธารณสุขมูลฐาน 2561 อะไรที่จะใช้รักษาโรคที่เกิดจากราได้</t>
  </si>
  <si>
    <t>พลู ❌ ใช้แก้ท้องอืด ท้องเฟ้อ และมีฤทธิ์ฆ่าเชื้อบางชนิด แต่ไม่ใช่ตัวหลักในโรคเชื้อรา</t>
  </si>
  <si>
    <t>ทองพันชั่ง ✅ ใช้รักษาโรคผิวหนังจากเชื้อรา</t>
  </si>
  <si>
    <t>เปลือกมังคุด ❌ มีฤทธิ์ต้านเชื้อและฝาดสมาน ใช้กับแผล/ผิวหนังบางอย่าง แต่ไม่ใช่ตัวเด่น</t>
  </si>
  <si>
    <t>พญายอ ❌ ใช้รักษาเริม งูสวัด แผลอักเสบ</t>
  </si>
  <si>
    <t>ว่านหางจระเข้ ❌ ใช้สมานแผล ลดการระคายเคือง/แผลไฟไหม้</t>
  </si>
  <si>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</si>
  <si>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172</t>
  </si>
  <si>
    <t>สารสำคัญที่มีสรรพคุณลดปวดในเจลพริกคือสารใด</t>
  </si>
  <si>
    <t>Piperalin</t>
  </si>
  <si>
    <t>Curcuminoid คำอธิบาย: Capsaicin เป็นสารสำคัญในพริก มีฤทธิ์ลดอาการปวดโดยกระตุ้น TRPV1 receptor ทำให้สารสื่อประสาทความปวด (เช่น substance P) ลดล</t>
  </si>
  <si>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</si>
  <si>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173</t>
  </si>
  <si>
    <t>สมุนไพรที่ใช้ในการขับพยาธิ</t>
  </si>
  <si>
    <t>น้ำมันมะพร้าว</t>
  </si>
  <si>
    <t>ใบตำลึง</t>
  </si>
  <si>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</si>
  <si>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</si>
  <si>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174</t>
  </si>
  <si>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</si>
  <si>
    <t>กระเจี๊ยบแดง ✅ ใช้แก้ขัดเบา/ขับปัสสาวะ</t>
  </si>
  <si>
    <t>ช้าพลู ❌ ใช้แก้ท้องอืด ขับลม</t>
  </si>
  <si>
    <t>รางจืด ❌ ใช้ถอนพิษ/แก้เมาสารพิษตามภูมิปัญญา</t>
  </si>
  <si>
    <t>ฟ้าทะลายโจร ❌ ใช้บรรเทาอาการหวัด เจ็บคอ</t>
  </si>
  <si>
    <t>หญ้าปักกิ่ง ❌ ใช้ตามภูมิปัญญาด้านอื่น ไม่ใช่ตัวหลักแก้ขัดเบา</t>
  </si>
  <si>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</si>
  <si>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175</t>
  </si>
  <si>
    <t>ตำรับสมุนไพรใดสามารถใช้รักษาเชื้อราได้</t>
  </si>
  <si>
    <t>ทิงเจอร์พลู</t>
  </si>
  <si>
    <t>ทิงเจอร์เสลดพังพอน</t>
  </si>
  <si>
    <t>ครีมมะหาด</t>
  </si>
  <si>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</si>
  <si>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</si>
  <si>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176</t>
  </si>
  <si>
    <t>สมุนไพรมีสรรพคุณช่วยเลิกบุหรี่</t>
  </si>
  <si>
    <t>หญ้าหนวดแมว ❌ ใช้ขับปัสสาวะ/นิ่วในทางเดินปัสสาวะ</t>
  </si>
  <si>
    <t>รางจืด ❌ ใช้ถอนพิษตามภูมิปัญญา</t>
  </si>
  <si>
    <t>กระเจี๊ยบแดง ❌ ขับปัสสาวะ แก้ขัดเบา</t>
  </si>
  <si>
    <t>หญ้าดอกขาว ✅ ช่วยเลิกบุหรี่ ลดความอยากบุหรี่</t>
  </si>
  <si>
    <t>ขิง ❌ แก้คลื่นไส้ ขับลม</t>
  </si>
  <si>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</si>
  <si>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177</t>
  </si>
  <si>
    <t>สมุนไพรในใดมีหลักฐานเชิงประจักษ์ช่วยลดระดับน้ำตาลได้</t>
  </si>
  <si>
    <t>ดอกแค ❌ มีคุณค่าทางอาหาร แต่ไม่ใช่สมุนไพรหลักลดน้ำตาล</t>
  </si>
  <si>
    <t>ขี้เหล็ก ❌ เด่นด้านช่วยระบาย/เป็นยาระงับประสาทอ่อน ๆ</t>
  </si>
  <si>
    <t>มะระขี้นก ✅ มีหลักฐานช่วยลดระดับน้ำตาล</t>
  </si>
  <si>
    <t>ทองพันชั่ง ❌ ใช้ต้านเชื้อรา/โรคผิวหนัง</t>
  </si>
  <si>
    <t>ฟ้าทะลายโจร ❌ เด่นด้านหวัด เจ็บคอ และต้านการอักเสบ</t>
  </si>
  <si>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</si>
  <si>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178</t>
  </si>
  <si>
    <t>สมุนไพรช่วยลดอาการปวด อักเสบ ตามบัญชียาหลักแห่งชาติคือข้อใด</t>
  </si>
  <si>
    <t>เถาวัลย์เปรียง ✅ ลดปวด ลดอักเสบ ปวดกล้ามเนื้อ/ข้อ</t>
  </si>
  <si>
    <t>หญ้าหนวดแมว ❌ ขับปัสสาวะ ใช้เกี่ยวกับนิ่ว/ทางเดินปัสสาวะ</t>
  </si>
  <si>
    <t>หญ้าปักกิ่ง ❌ ใช้ตามภูมิปัญญาอื่น ไม่ใช่ตัวหลักลดปวด</t>
  </si>
  <si>
    <t>ช้าพลู ❌ ขับลม แก้ท้องอืด</t>
  </si>
  <si>
    <t>เห็ดหลินจือ ❌ ใช้เป็นสมุนไพรเสริมสุขภาพ/ภูมิคุ้มกัน PLE\_CC1\_2564\_Day1\_Key</t>
  </si>
  <si>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</si>
  <si>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179</t>
  </si>
  <si>
    <t>สมุนไพรในบัญชียาหลักที่มีฤทธิ์ขับปัสสาวะคือข้อใด?</t>
  </si>
  <si>
    <t>กระเจี๊ยบแดง ✅ ขับปัสสาวะ / แก้ขัดเบา</t>
  </si>
  <si>
    <t>กระชาย ❌ ใช้บำรุงร่างกาย ขับลม</t>
  </si>
  <si>
    <t>ฟ้าทะลายโจร ❌ หวัด เจ็บคอ ต้านการอักเสบ</t>
  </si>
  <si>
    <t>ยอ ❌ ใช้ตามภูมิปัญญาอื่น ไม่ใช่สมุนไพรขับปัสสาวะหลัก PLE\_CC1\_2564\_Day1\_Q</t>
  </si>
  <si>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</si>
  <si>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180</t>
  </si>
  <si>
    <t>สมุนไพรใดที่มีฤทธิ์ขับปัสสาวะ และควรหลีกเลี่ยงในผู้ป่วยโรคหัวใจ?</t>
  </si>
  <si>
    <t>หญ้าหนวดแมว ✅ ขับปัสสาวะ → ระวังในผู้ป่วยโรคหัวใจ</t>
  </si>
  <si>
    <t>หญ้าปักกิ่ง ❌ ไม่ใช่สมุนไพรหลักด้านขับปัสสาวะ</t>
  </si>
  <si>
    <t>เถาวัลย์เปรียง ❌ ลดปวด ลดอักเสบ</t>
  </si>
  <si>
    <t>ใบชุมเห็ดเทศ ❌ ใช้เป็นยาระบาย</t>
  </si>
  <si>
    <t>ใบพญายอ ❌ ใช้รักษาเริม งูสวัด แผลอักเสบ PLE\_CC1\_2564\_Day2\_Key</t>
  </si>
  <si>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</si>
  <si>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181</t>
  </si>
  <si>
    <t>สมุนไพรใดมีอันตรกิริยากับยาต้านไวรัส HIV?</t>
  </si>
  <si>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</si>
  <si>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</si>
  <si>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182</t>
  </si>
  <si>
    <t>ยาสมุนไพรใดต้องระวังมากที่สุดในผู้ป่วยรายนี้?</t>
  </si>
  <si>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</si>
  <si>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</si>
  <si>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184</t>
  </si>
  <si>
    <t>สมุนไพรที่เกิดอันตรกิริยากับยาต้าน HIV มากที่สุดคือข้อใด?</t>
  </si>
  <si>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</si>
  <si>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</si>
  <si>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185</t>
  </si>
  <si>
    <t>การสกัด Tea Tree Oil จากใบและกิ่งสด ใช้วิธีใด?</t>
  </si>
  <si>
    <t>Soxhlet extraction ❌ เหมาะกับสารสกัดจากพืชแห้ง ใช้ตัวทำละลาย ไม่เหมาะกับ volatile oil</t>
  </si>
  <si>
    <t>สกัดด้วยน้ำ ❌ น้ำมันหอมระเหยไม่ละลายน้ำ</t>
  </si>
  <si>
    <t>กลั่นด้วยไอน้ำ ✅ วิธีมาตรฐานสำหรับ volatile oil เช่น tea tree oil</t>
  </si>
  <si>
    <t>Enfleurage ❌ ใช้สกัดน้ำมันหอมจากดอกไม้ที่บอบบาง เช่น jasmine</t>
  </si>
  <si>
    <t>Alcohol:น้ำ 70% ❌ ใช้สกัดสารกลุ่ม polar เช่น flavonoids, glycosides</t>
  </si>
  <si>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</si>
  <si>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186</t>
  </si>
  <si>
    <t>สมุนไพรที่ตีกับยาเก๊าท์คือข้อใด?</t>
  </si>
  <si>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</si>
  <si>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</si>
  <si>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187</t>
  </si>
  <si>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</si>
  <si>
    <t>พลู</t>
  </si>
  <si>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</si>
  <si>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</si>
  <si>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188</t>
  </si>
  <si>
    <t>ข้อใดถูกต้องเกี่ยวกับการควบคุมคุณภาพผงยาสมุนไพร โดยใช้กล้องจุลทรรศน์ (พญายอ รักษาเริม)?</t>
  </si>
  <si>
    <t>ควรพบ Cork cells, Sclereids</t>
  </si>
  <si>
    <t>ควรพบ Cork cells, Stomata</t>
  </si>
  <si>
    <t>ไม่ควรพบ Sclereids, Stomata</t>
  </si>
  <si>
    <t>ควรพบ Stomata, Palisade</t>
  </si>
  <si>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</si>
  <si>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</si>
  <si>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189</t>
  </si>
  <si>
    <t>สมุนไพรบรรเทาอาการคันและผิวหนังแห้งคือข้อใด?</t>
  </si>
  <si>
    <t>ยาขี้ผึ้งไพล</t>
  </si>
  <si>
    <t>ยาเมล็ดน้อยหน่า</t>
  </si>
  <si>
    <t>ยาเจลว่านหางจระเข้</t>
  </si>
  <si>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</si>
  <si>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</si>
  <si>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190</t>
  </si>
  <si>
    <t>ข้อใดเป็นสมุนไพรในบัญชียาหลักแห่งชาติที่ใช้รักษาอาการข้างต้น (เริมที่อวัยวะเพศ) ได้? A. ยาครีมบัวบก</t>
  </si>
  <si>
    <t>ยาครีมพญายอ</t>
  </si>
  <si>
    <t>ยาน้ำเปลือกมังคุด</t>
  </si>
  <si>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</si>
  <si>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</si>
  <si>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2564 ข้อ 191</t>
  </si>
  <si>
    <t>ข้อใดถูกต้องเกี่ยวกับการควบคุมคุณภาพผงยาสมุนไพร โดยใช้กล้องจุลทรรศน์ (พญายอ รักษาเริม) ต้นฉบับ: Day 1 ข้อ 70</t>
  </si>
  <si>
    <t>ควรพบ cork cells, sclereids</t>
  </si>
  <si>
    <t>ควรพบ cork cells, stomata</t>
  </si>
  <si>
    <t>ไม่ควรพบ sclereids, stomata</t>
  </si>
  <si>
    <t>ควรพบ stomata, palisade</t>
  </si>
  <si>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</si>
  <si>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</si>
  <si>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2563 ข้อ 66</t>
  </si>
  <si>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</si>
  <si>
    <t>ผ่านเกณฑ์มาตรฐาน เนื่องจากมีค่าไม่เกิน 5×10⁷</t>
  </si>
  <si>
    <t>ผ่านเกณฑ์มาตรฐาน เนื่องจากมีค่าไม่เกิน 5×10⁴</t>
  </si>
  <si>
    <t>ไม่ผ่านเกณฑ์มาตรฐาน เนื่องจากมีค่าเกิน 5×10³</t>
  </si>
  <si>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</si>
  <si>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</si>
  <si>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2563 ข้อ 67</t>
  </si>
  <si>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</si>
  <si>
    <t>ตะไคร้ | คำอธิบาย ขมิ้นชัน (Curcuma longa) เป็นสมุนไพรในบัญชียาหลักแห่งชาติที่มีข้อบ่งใช้ตรงกับโจทย์ 2 ประการพร้อมกัน</t>
  </si>
  <si>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</si>
  <si>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</si>
  <si>
    <t>Content uniformity / weight variation</t>
  </si>
  <si>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</si>
  <si>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</si>
  <si>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</si>
  <si>
    <t>ละลาย iodine ที่บดละเอียดในน้ำที่อุณหภูมิห้อง</t>
  </si>
  <si>
    <t>ละลาย iodine ในสารละลาย potassium iodide</t>
  </si>
  <si>
    <t>ละลาย iodine ในน้ำเดือด</t>
  </si>
  <si>
    <t>ละลาย iodine โดยใช้ ethanol เป็น co-solvent</t>
  </si>
  <si>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</si>
  <si>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</si>
  <si>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</si>
  <si>
    <t>Infrared spectoscope</t>
  </si>
  <si>
    <t>NMR | คำอธิบาย การวิเคราะห์ยาเม็ดคุมกำเนิดที่มีตัวยาสองชนิดผสมกันต้องใช้ HPLC ด้วยเหตุผล 3 ประการ</t>
  </si>
  <si>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</si>
  <si>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</si>
  <si>
    <t>Wetting agent | คำอธิบาย Propellant (สารขับดัน) เป็นองค์ประกอบที่ขาดไม่ได้และสำคัญที่สุดของยาพ่นชนิด pressurized metered dose inhaler (pMDI)   หน้าที่ 3 ประการ:</t>
  </si>
  <si>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</si>
  <si>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หากต้องการตรวจสอบคุณภาพผงสมุนไพรของใบพญายอ ด้วยวิธีการส่องกล้องจุลทรรศน์ ควรพบเนื้อเยื่อส่วนใดบ้าง</t>
  </si>
  <si>
    <t>พบ cortex และ xylem</t>
  </si>
  <si>
    <t>พบ cork และ stomata</t>
  </si>
  <si>
    <t>พบ cortex และ cambium</t>
  </si>
  <si>
    <t>พบ scleried และ stomata</t>
  </si>
  <si>
    <t>พบ palisade และ stomata</t>
  </si>
  <si>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</si>
  <si>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2561 ข้อ 7</t>
  </si>
  <si>
    <t>แคปซูลฟ้าทะลายโจรต้องทดสอบอะไร</t>
  </si>
  <si>
    <t>Limit of pyrogen</t>
  </si>
  <si>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</si>
  <si>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2559 ข้อ 20</t>
  </si>
  <si>
    <t>ข้อแนะนำในการเก็บรักษาและการใช้งานยาฉีดอินซูลินสำหรับผู้ป่วยข้อใดถูกต้อง?</t>
  </si>
  <si>
    <t>ให้เช็ดทำความสะอาดปลายเข็มโลหะด้วยสำลีชุบแอลกอฮอล์ก่อนฉีดทุกครั้ง</t>
  </si>
  <si>
    <t>ควรฉีดซ้ำที่เดิมเสมอเพื่อคุมระดับการดูดซึมยาให้คงที่</t>
  </si>
  <si>
    <t>ยาฉีดอินซูลินขวดที่เปิดใช้งานแล้ว สามารถเก็บรักษาไว้ในอุณหภูมิห้องที่ไม่ร้อนเกินไปได้นาน 28 วัน</t>
  </si>
  <si>
    <t>ควรนำยาฉีดอินซูลินไปเก็บไว้ในช่องแช่แข็งเพื่อความคงตัวสูงสุดของสารสกัดโปรตีน</t>
  </si>
  <si>
    <t>สำหรับอินซูลินที่เป็นชนิดสารแขวนตะกอน (Suspension) ต้องเขย่าขวดยาแรงๆ ก่อนใช้เพื่อให้ยากระจายตัว</t>
  </si>
  <si>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</si>
  <si>
    <t>ข้อสอบจริง Product ปี 2558 ข้อ 29</t>
  </si>
  <si>
    <t>สารกัน เสียในข้อใดมีผลให้เกิด bronchoconstriction มากที่สุด</t>
  </si>
  <si>
    <t>[แนบรูป: ข้อสอบ Product ปี 2564 รหัสรูปภาพ image73]</t>
  </si>
  <si>
    <t>Titrate</t>
  </si>
  <si>
    <t>HPLC with UV</t>
  </si>
  <si>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</si>
  <si>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</si>
  <si>
    <t>Food Products &amp; Quality Assurance</t>
  </si>
  <si>
    <t>ข้อสอบจริง Product ปี 2564 ข้อ 19</t>
  </si>
  <si>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</si>
  <si>
    <t>Methyl cyanide</t>
  </si>
  <si>
    <t>Nitro</t>
  </si>
  <si>
    <t>Thio</t>
  </si>
  <si>
    <t>Furan</t>
  </si>
  <si>
    <t>Amine</t>
  </si>
  <si>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</si>
  <si>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SAR &amp; Drug Design</t>
  </si>
  <si>
    <t>จากสูตรโครงสร้างของ praziquantel ตำแหน่งนี้เรียกว่า และมีคุณสมบัติอย่างไร</t>
  </si>
  <si>
    <t>Quinoline, base</t>
  </si>
  <si>
    <t>Isoquinoline, base</t>
  </si>
  <si>
    <t>Guanine, acid</t>
  </si>
  <si>
    <t>Pyramidine, acid</t>
  </si>
  <si>
    <t>Nirobenzene, acid</t>
  </si>
  <si>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</si>
  <si>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จากสูตรโครงสร้างมีหมู่ carboxyl group กี่หมู่</t>
  </si>
  <si>
    <t>Bioisosteric Replacement (Carboxylic acid → Tetrazole)</t>
  </si>
  <si>
    <t>Prodrug Design via Esterification for Oral Bioavailability</t>
  </si>
  <si>
    <t>Cytochrome P450 CYP3A4 Phase I Oxidation</t>
  </si>
  <si>
    <t>Phase II Glucuronidation Conjugation by UGT</t>
  </si>
  <si>
    <t>Log P Lipophilicity Partition Coefficient optimization</t>
  </si>
  <si>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</si>
  <si>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 Simvastatin และ Pravastatin ข้อใดถูกต้อง</t>
  </si>
  <si>
    <t>Cholestyramine ลดการดูดซึมของยา simvastatin เพราะโครงสร้าง Simvastatin มี lactone ring</t>
  </si>
  <si>
    <t>Cholestyramine ลดการดูดซึมของยา pravastatin เพราะโครงสร้าง Pravastatin มี carboxylic acid</t>
  </si>
  <si>
    <t>Simvastatin ลดการดูดซึมของยา cholestyramine</t>
  </si>
  <si>
    <t>Cholestyramine ไม่มีผลต่อการดูดซึมของยา simvastatin และ pravastatin</t>
  </si>
  <si>
    <t>Cholestyramine เพิ่มการดูดซึมของยา simvastatin และ pravastatin</t>
  </si>
  <si>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</si>
  <si>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โครงสร้างที่แสดงข้อ 4 สัมพันธ์กับการออกฤทธิ์ของยาอย่างไร</t>
  </si>
  <si>
    <t>Pravastatin เป็น prodrug</t>
  </si>
  <si>
    <t>Pravastatin และ simvastatin เป็น prodrug</t>
  </si>
  <si>
    <t>Pravastatin มีโครงสร้างที่ออกฤทธิ์ในร่างกายสองรูปแบบ คือ โครงสร้างที่เชื่อมเป็นวง lactone ring และโครงสร้างที่เป็น carboxylic acid</t>
  </si>
  <si>
    <t>Simvastatin มีโครงสร้างที่ออกฤทธิ์ คือ โครงสร้างที่เป็น lactone ring เปิด</t>
  </si>
  <si>
    <t>Pravastatin และ simvastatin ไม่เป็น prodrug</t>
  </si>
  <si>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</si>
  <si>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สูตรโครงสร้างของยาต่อไปนี้ข้อใดคือ Dexamethasone</t>
  </si>
  <si>
    <t>โครงสร้างเตียรอยด์มีหมู่ -OH และ -F</t>
  </si>
  <si>
    <t>โครงสร้าง ACE inhibitor</t>
  </si>
  <si>
    <t>โครงสร้าง Chloramphenicol</t>
  </si>
  <si>
    <t>โครงสร้าง Sulfonamide</t>
  </si>
  <si>
    <t>โครงสร้าง Beta-lactam หรือโครงสร้างอื่น</t>
  </si>
  <si>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</si>
  <si>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จากโครงสร้างของ vitamin A ข้อใดต่อไปนี้ถูกต้องเกี่ยวกับ SAR</t>
  </si>
  <si>
    <t>Conjugated double bond เพิ่มขึ้น ทำให้ activity ของ vitamin A ลดลง</t>
  </si>
  <si>
    <t>Conjugated double bond ลดลง ทำให้ activity ของ vitamin A เพิ่มขึ้น</t>
  </si>
  <si>
    <t>ถ้า b-ionone ring saturate จะทำให้ vitamin A หมดฤทธิ์</t>
  </si>
  <si>
    <t>ถ้า b-ionone ring saturate จะทำให้ vitamin A ฤทธิ์เพิ่มขึ้น</t>
  </si>
  <si>
    <t>ถ้าเปลี่ยนจาก -OH เป็น ether จะทำให้ vitamin A ฤทธิ์เพิ่มขึ้น</t>
  </si>
  <si>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</si>
  <si>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จากข้อ 11 ถ้าเปลี่ยนจากหมู่ OH เป็น COOH จะเป็นสารใดต่อไปนี้</t>
  </si>
  <si>
    <t>Isotretinoin</t>
  </si>
  <si>
    <t>Carotenoid</t>
  </si>
  <si>
    <t>Retinal</t>
  </si>
  <si>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</si>
  <si>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</si>
  <si>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จากโครงสร้างของยา A และยา B ข้อใดถูกต้องเกี่ยวกับยา B</t>
  </si>
  <si>
    <t>ฤทธิ์ต้านแบคทีเรียลดลงอย่างมีนัยสำคัญ</t>
  </si>
  <si>
    <t>ความสามารถในการละลายน้ำไม่เปลี่ยนแปลง</t>
  </si>
  <si>
    <t>ความถี่ในการรับประทานลดลง</t>
  </si>
  <si>
    <t>ไม่คงตัวต่อกรดเช่นเดียวกับยา A</t>
  </si>
  <si>
    <t>ไม่คงตัวต่อด่างเช่นเดียวกันกับยา A</t>
  </si>
  <si>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</si>
  <si>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จากสูตรโครงสร้างของยา doxorubicin โครงสร้างส่วนใดที่ออกฤทธิ์เป็น intercalating ของ DNA</t>
  </si>
  <si>
    <t>Anthracycline ring</t>
  </si>
  <si>
    <t>- NH2 group</t>
  </si>
  <si>
    <t>Methoxy</t>
  </si>
  <si>
    <t>Hydroxyl</t>
  </si>
  <si>
    <t>น้ำตาล glycoside</t>
  </si>
  <si>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</si>
  <si>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 Pharma Plus เล่มม่วง (เฉลยข้อ ก)</t>
  </si>
  <si>
    <t>โครงสร้างนี้ เรียกว่า อะไร</t>
  </si>
  <si>
    <t>Nucleotide ของ Purine</t>
  </si>
  <si>
    <t>Nucleotide ของ Pyridine</t>
  </si>
  <si>
    <t>Nucleoside ของ Purine</t>
  </si>
  <si>
    <t>Nucleoside ของ Pyridine</t>
  </si>
  <si>
    <t>ไม่มีข้อใดถูกต้องการ</t>
  </si>
  <si>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</si>
  <si>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ข้อใดกล่าวถูกต้องเกี่ยวกับการพัฒนาโครงสร้างดังแสดงด้านล่าง</t>
  </si>
  <si>
    <t>เปลี่ยนตัวออกฤทธิ์เป็น Ligand เพื่อช่วยลดอาการไม่พึงประสงค์จากยา</t>
  </si>
  <si>
    <t>ทำให้โครงสร้างใหญ่ขึ้นเพื่อลดการโดนทำลายหมู่สำคัญในการออกฤทธิ์</t>
  </si>
  <si>
    <t>เพิ่ม Lipophilicity ของยาเพื่อเพิ่มการเข้าสู่เซลล์เป้าหมาย</t>
  </si>
  <si>
    <t>ข้อ ก ข ถูก</t>
  </si>
  <si>
    <t>ข้อ ก ข ค ถูก</t>
  </si>
  <si>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</si>
  <si>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จากโครงสร้างของยาต่อไปนี้ ยาในข้อใดที่มีคุณสมบัติทนต่อ catechol-O-methyltransferase</t>
  </si>
  <si>
    <t>Chiral Eutomer vs Distomer Pharmacological activity</t>
  </si>
  <si>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</si>
  <si>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 ข้อใดไม่ถูกต้อง</t>
  </si>
  <si>
    <t>(S)-form มีฤทธิ์มากกว่า (R)-form</t>
  </si>
  <si>
    <t>อยู่ในกลุ่ม coumarin</t>
  </si>
  <si>
    <t>Cyclic hemiketal เป็น active form</t>
  </si>
  <si>
    <t>ออกฤทธิ์ direct acting anticoagulants</t>
  </si>
  <si>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</si>
  <si>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 ข้อความใดต่อไปนี้ไม่ถูกต้อง</t>
  </si>
  <si>
    <t>ตัวอย่างยาในกลุ่มนี้ คือ Digoxin</t>
  </si>
  <si>
    <t>Lactone ring เป็นประเภท bufadienolide</t>
  </si>
  <si>
    <t>ออกฤทธิ์ยับยั้ง Na-K ATPase</t>
  </si>
  <si>
    <t>น้ำตาลจะเข้ามาเกาะที่ตำแหน่ง C3</t>
  </si>
  <si>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</si>
  <si>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โครงสร้างใดต่อไปนี้เป็น Ester of Amino Alcohol</t>
  </si>
  <si>
    <t>Covalent Irreversible Enzyme Inhibition</t>
  </si>
  <si>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</si>
  <si>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N3 หรือ Azido group จากสูตรโครงสร้างของ AZT มีผลให้เกิดสิ่งใด</t>
  </si>
  <si>
    <t>ช่วยเพิ่มการดูดซึมของยา</t>
  </si>
  <si>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</si>
  <si>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โครงสร้างต่อไปนี้หมายถึงยาชนิดใด</t>
  </si>
  <si>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</si>
  <si>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ยาปฏิชีวนะข้อใดที่ไม่มีโครงสร้าง B-lactam ring</t>
  </si>
  <si>
    <t>Imipenam</t>
  </si>
  <si>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</si>
  <si>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จากสูตรโครงสร้างของยา amoxacillin นี้ตำแหน่งไหนที่ถูกทำลายได้ง่ายและมีผลต่อการดื้อยา</t>
  </si>
  <si>
    <t>Structure-Activity Relationship (SAR) Optimization</t>
  </si>
  <si>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</si>
  <si>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ข้อใดผิดเกี่ยวกับ penicillin</t>
  </si>
  <si>
    <t>Pen G มี chain เป็น Benzoyl group</t>
  </si>
  <si>
    <t>Pen G potassium ละลายได้ดีกว่า Pen G</t>
  </si>
  <si>
    <t>Benzathine Pen G เป็นเกลือของ Pen G</t>
  </si>
  <si>
    <t>B-lactamase ถูก Hydrolyze ด้วยกรด</t>
  </si>
  <si>
    <t>Procaine penicillin G ถูกดูดได้ดีในทางเดินอาหาร</t>
  </si>
  <si>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</si>
  <si>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Doxycycline มีสูตรโครงสร้างรูป เป็นยากลุ่มเดียวกันกับยาใด</t>
  </si>
  <si>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</si>
  <si>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เกี่ยวกับโครงสร้างของสารดังรูป ทุกข้อต่อไปนี้ถูกต้อง ยกเว้นข้อใด</t>
  </si>
  <si>
    <t>เป็นสารในกลุ่ม 8-aminoquinoline</t>
  </si>
  <si>
    <t>ตัวอย่างยาในกลุ่มนี้ได้แก่ primaquine</t>
  </si>
  <si>
    <t>ถ้ามี Cl ที่ตำแหน่ง 7 จะทำให้ได้ฤทธิ์สูงสุด และมีพิษน้อย</t>
  </si>
  <si>
    <t>Dialkylamino alkylamine side chain จะให้ฤทธิ์สูงสุดเมื่อ n = 2, 5 หรือ 6</t>
  </si>
  <si>
    <t>Quinoline ring system และอนุพันธ์ให้ผลที่ดีกว่า acridine ring system</t>
  </si>
  <si>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</si>
  <si>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จากสูตรโครงสร้างของ folic acid ข้อใดกล่าวไม่ถูกต้อง</t>
  </si>
  <si>
    <t>เป็น water soluble vitamin</t>
  </si>
  <si>
    <t>เรียกอีกอย่างหนึ่งว่า vitamin B9</t>
  </si>
  <si>
    <t>เกี่ยวข้องกับการสร้าง DNA และ RNA</t>
  </si>
  <si>
    <t>มนุษย์สามารถสังเคราะห์ folic acid ได้</t>
  </si>
  <si>
    <t>ใน IR chromatogram จะเห็น peak ที่ชัดเจน ที่ค่าความถี่ประมาณ 1,700 cm⁻¹</t>
  </si>
  <si>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</si>
  <si>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 ไม่สามารถใช้ในผู้ป่วยกลุ่มใด</t>
  </si>
  <si>
    <t>Pediatric</t>
  </si>
  <si>
    <t>Cirrhosis/Hepatitis</t>
  </si>
  <si>
    <t>Sulfa allergy</t>
  </si>
  <si>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</si>
  <si>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จากโครงสร้างของยา glybenclamide ข้อใดเป็นเหตุผลที่ทำให้ duration นานขึ้น</t>
  </si>
  <si>
    <t>สามารถหมุนแสง polarized ได้</t>
  </si>
  <si>
    <t>สามารถวิเคราะห์ได้โดยใช้วิธี HPLC-UV detection</t>
  </si>
  <si>
    <t>หมู่ซัลโฟไททำให้โครงสร้างมีความเป็นกรด</t>
  </si>
  <si>
    <t>หมู่ยูเรียทำให้โครงสร้างมีความเป็นเบส</t>
  </si>
  <si>
    <t>วงแหวนอะโรมาติกปลาย ซึ่งมีหมู่คลอโรในเมตาบอไลต์โดยกระบวนการออกซิเดชันได้</t>
  </si>
  <si>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</si>
  <si>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จากสูตรโครงสร้างต่อไปนี้ของยา glipizide จัดว่าเป็นยากลุ่มใด</t>
  </si>
  <si>
    <t>Biguanides</t>
  </si>
  <si>
    <t>Nicotinic acids</t>
  </si>
  <si>
    <t>Sulfonylurea compounds</t>
  </si>
  <si>
    <t>Nucleoside analogue</t>
  </si>
  <si>
    <t>Sulfones</t>
  </si>
  <si>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</si>
  <si>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โครงสร้างต่อไปนี้เป็นโครงสร้างของยากลุ่มใด</t>
  </si>
  <si>
    <t>Iodoperoxidase inhibitor</t>
  </si>
  <si>
    <t>Thyroid hormone</t>
  </si>
  <si>
    <t>Insulin analog</t>
  </si>
  <si>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</si>
  <si>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ชื่อเรียกทั่วไปของยาที่มีโครงสร้างในรูป คือ (ยา PTU)</t>
  </si>
  <si>
    <t>6 propyl 3 thiouracil</t>
  </si>
  <si>
    <t>1 propyl 5 thiouracil</t>
  </si>
  <si>
    <t>2 propyl 6 thiouracil</t>
  </si>
  <si>
    <t>2 propyl 5 thiouracil</t>
  </si>
  <si>
    <t>6 propyl 2 thiouracil</t>
  </si>
  <si>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</si>
  <si>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จากโครงสร้างของยา 3 ชนิด (methimazole, carbimazole และ propylthiouracil)
ข้อใดถูกต้องเกี่ยวกับยา methimazole, carbimazole และ propylthiouracil</t>
  </si>
  <si>
    <t>Methimazole, carbimazole และ propylthiouracil ถูก metabolized โดยปฏิกิริยา desulfunation ก่อนจึงจะได้สารที่มีฤทธิ์ทางเภสัชวิทยา</t>
  </si>
  <si>
    <t>Propylthiouracil จะถูก metabolized โดยปฏิกิริยา dealkylation ซึ่งจะตัด Propyl group ออกก่อนจึงจะได้สารที่มีฤทธิ์ทางเภสัชวิทยา</t>
  </si>
  <si>
    <t>Methimazole จะถูก metabolized โดยปฏิกิริยา conjugation ได้เป็น carbimazole จึงจะได้สารที่มีฤทธิ์ทางเภสัชวิทยาที่ต้องการ</t>
  </si>
  <si>
    <t>ต้องเกิดปฏิกิริยา amide hydrolysis กับโครงสร้าง carbimazole จึงจะได้สารที่มีฤทธิ์ทางเภสัชวิทยาที่ต้องการ</t>
  </si>
  <si>
    <t>ต้องเกิดปฏิกิริยา ester hydrolysis กับโครงสร้าง carbimazole จึงจะได้สารที่มีฤทธิ์ทางเภสัชวิทยาที่ต้องการ</t>
  </si>
  <si>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</si>
  <si>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ลักษณะสำคัญของ monoclonal antibody ที่ทำให้ต้องใช้ dosage form เป็น injectable เท่านั้น</t>
  </si>
  <si>
    <t>ขนาดโมเลกุลเล็กดูดซึมผ่าน GI tract ได้ดี</t>
  </si>
  <si>
    <t>ไวต่อเอนไซม์ protease ถูกทำลายเมื่อให้โดยรับประทาน</t>
  </si>
  <si>
    <t>คงตัวสูงในpHที่เป็นกรด</t>
  </si>
  <si>
    <t>ผ่าน first-pass metabolism ได้ดี</t>
  </si>
  <si>
    <t>Log P สูง ดูดซึมได้รวดเร็ว"</t>
  </si>
  <si>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</si>
  <si>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Medicinal Chemistry</t>
  </si>
  <si>
    <t>Mock PLE-CC 1 ข้อ 71</t>
  </si>
  <si>
    <t>ข้อใดส่งผลกระทบต่อ pembrolizumab ในรูปแบบ solution สำหรับยาฉีดมากที่สุด</t>
  </si>
  <si>
    <t>Hydrolysis ที่ตำแหน่ง ester bond</t>
  </si>
  <si>
    <t>Aggregation เมื่อเปลี่ยนแปลง pH หรือเขย่า</t>
  </si>
  <si>
    <t>Oxidation ที่ sulfhydryl ของ excipient</t>
  </si>
  <si>
    <t>Crystallation เมื่ออุณหภูมิลด</t>
  </si>
  <si>
    <t>Racemization ที่ chiral center</t>
  </si>
  <si>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</si>
  <si>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72</t>
  </si>
  <si>
    <t>กลไกของยามาตรฐานที่ใช้รักษา</t>
  </si>
  <si>
    <t>จับ protease → ยับยั้งการสร้าง protein</t>
  </si>
  <si>
    <t>เป็น nucleoside analogue → ยับยั้ง viral polymerase โดยจะต้องถูก phospholyrate โดย viral thimine kinase</t>
  </si>
  <si>
    <t>inhibit isoleucyl-tRNA-synthetase และหยุดการสังเคราะห์โปรตีน</t>
  </si>
  <si>
    <t>Compatitive inhibitor กับ reverse transcriptase</t>
  </si>
  <si>
    <t>กดภูมิของร่างกายที่มากเกินไป</t>
  </si>
  <si>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</si>
  <si>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122</t>
  </si>
  <si>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</si>
  <si>
    <t>5-6</t>
  </si>
  <si>
    <t>9-10</t>
  </si>
  <si>
    <t>7-8</t>
  </si>
  <si>
    <t>11-12</t>
  </si>
  <si>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</si>
  <si>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PLE_CC1_2567_Key ข้อ 93</t>
  </si>
  <si>
    <t>ยา Potassium Chloride (KCl) มีค่า pKa 8.07 ละลายได้ดีในน้ำ แต่ละลายน้อยใน alcohol เพื่อป้องกัน การตกตะกอน ต้องมี pH ในตำรับอยู่ที่เท่าไร</t>
  </si>
  <si>
    <t>PEG (Polyethylene Glycol) ยาระบายก2เซอkนบรรlแบบแผงคาดKาสามารถL 10 เaดnอแผงไo</t>
  </si>
  <si>
    <t>Calcium phosphate (เกFอขนาดhอยกKา 1 iตร[ดเNนยาสา\ญประ^_าน</t>
  </si>
  <si>
    <t>TiO2 (Titanium Dioxide) ยาgางตาhอยกKา 240 ml [ดเNนยาสา\ญประ^_าน</t>
  </si>
  <si>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</si>
  <si>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PLE_CC1_2567_Set1_Key ข้อ 93</t>
  </si>
  <si>
    <t>Medchem ตำแหน่งการออกฤทธิ์ของINSTRI . ตัวเลือก</t>
  </si>
  <si>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</si>
  <si>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Medchem ถามตำแหน่งไหนของsalbutamol ที่แตกต่างจาก epinephrine ที่ทำให้ออกฤทธิ์เป็นB2 agonist. ตัวเลือก</t>
  </si>
  <si>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</si>
  <si>
    <t>Medchem โครงสร้างhydroxyzine กับcet. ตัวเลือก</t>
  </si>
  <si>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</si>
  <si>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PLE-CC1 ปี 2566 Day 2 ข้อ 15</t>
  </si>
  <si>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</si>
  <si>
    <t>หลังอาหารเชา</t>
  </si>
  <si>
    <t>หลังอาหารเที่ยง</t>
  </si>
  <si>
    <t>หลังอาหารเย็น</t>
  </si>
  <si>
    <t>ก;อนอาหารเย็น</t>
  </si>
  <si>
    <t>ก;อนนอน</t>
  </si>
  <si>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</si>
  <si>
    <t>PLE_CC1_2565_Day1_Key ข้อ 23</t>
  </si>
  <si>
    <t>ขอใดคือโครงสรางของยาที่แพThis is Ibuprofen QดIา6อยเDนโครงสhางกÇมละAอ {ง|นเTน ÉIาแ1ละกÇมE core structure Ñงไง ↓</t>
  </si>
  <si>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(จำ choice ไม;ได): จำ choice ไม;ได ไม่ตรงกับข้อบ่งใช้หรือกลไกการออกฤทธิ์ที่ถูกต้องตาม SAR-based drug design / Thai Pharmacopoeia
• ข้อ ง. (จำ choice ไม;ได): จำ choice ไม;ได ไม่ตรงกับข้อบ่งใช้หรือกลไกการออกฤทธิ์ที่ถูกต้องตาม SAR-based drug design / Thai Pharmacopoeia
• ข้อ จ. (จำ choice ไม;ได): จำ choice ไม;ได ไม่ตรงกับข้อบ่งใช้หรือกลไกการออกฤทธิ์ที่ถูกต้องตาม SAR-based drug design / Thai Pharmacopoeia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</si>
  <si>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PLE_CC1_2565_Day1_Key ข้อ 42</t>
  </si>
  <si>
    <t>ผลข$างเคียง Losartan คืออะไร Reduce serum uric acid by increasing urinary excretion ยากgม Agiotensin receptor blocker (ARBs)</t>
  </si>
  <si>
    <t>HYPO K</t>
  </si>
  <si>
    <t>HYPER Na</t>
  </si>
  <si>
    <t>AKI</t>
  </si>
  <si>
    <t>Acute liver injury</t>
  </si>
  <si>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</si>
  <si>
    <t>PLE_CC1_2565_Day2_Key ข้อ 25</t>
  </si>
  <si>
    <t>สารละลาย Adrenaline injection ความเข้มข้น 0.01% w/v มีความหมายตรงกับความเข้มข้นในอัตราส่วน (Ratio strength) ใดต่อไปนี้</t>
  </si>
  <si>
    <t>1 : 100</t>
  </si>
  <si>
    <t>1 : 1,000</t>
  </si>
  <si>
    <t>1 : 10,000</t>
  </si>
  <si>
    <t>1 : 100,000</t>
  </si>
  <si>
    <t>1 : 1,000,000</t>
  </si>
  <si>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</si>
  <si>
    <t>PLE_CC1_2565_Day2_Key ข้อ 26</t>
  </si>
  <si>
    <t>ยาแก้แพ้ชนิดไม่ง่วง structure ยา ??? Molecular Determinants Responsible for Sedative and Non-sedative Properties of Histamine H-1-Receptor Antagonists (researchgate.net) ..............................................................................................................................................................................................................</t>
  </si>
  <si>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</si>
  <si>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7</t>
  </si>
  <si>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</si>
  <si>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</si>
  <si>
    <t>PLE_CC1_2564_All_Key ข้อ 28</t>
  </si>
  <si>
    <t>ยาใดมีกลไกยับยั้ง cholinesterase ทำให(พยาธิเกิดอัมพาต</t>
  </si>
  <si>
    <t>Diethycarbamazine E</t>
  </si>
  <si>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</si>
  <si>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62 (PLE_CC1_2561_Key.md)</t>
  </si>
  <si>
    <t>เมื่อใช้ยาในกลุ่ม Acetylcholinesterase inhibitors ร่วมกับ CYP2D6 inhibitor ทำให้เกิดผลใดตามมาได้</t>
  </si>
  <si>
    <t>ฤทธิ์ของยา AchE เพิ่มขึ้น</t>
  </si>
  <si>
    <t>ทำให้เกิด bradycardia</t>
  </si>
  <si>
    <t>ทำให้ใจสั่น ร่วมกับอาการตะคริว</t>
  </si>
  <si>
    <t>อาจทำให้เกิดอาการสับสนหรือเพ้อ (delirium)</t>
  </si>
  <si>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</si>
  <si>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53 (Pharmtutor_2024_Set1.md)</t>
  </si>
  <si>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</si>
  <si>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</si>
  <si>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26 (PLE_CC1_2557.md)</t>
  </si>
  <si>
    <t>ข้อใดกล่าวถูกเกี่ยวกับ diazepam infusion pKa3.4</t>
  </si>
  <si>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</si>
  <si>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เปลี่ยนจากยา HCTZ เป็น Losartan</t>
  </si>
  <si>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</si>
  <si>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Parkinsonism dysarthria</t>
  </si>
  <si>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</si>
  <si>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</si>
  <si>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</si>
  <si>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</si>
  <si>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</si>
  <si>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</si>
  <si>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</si>
  <si>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</si>
  <si>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</si>
  <si>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การให้ยาสองชนิดร่วมกันจะช่วยเสริมฤทธิ์ในการลดความดันโลหิต HCTZ ไม่เกี่ยวกับ Bradykinin Losartan block ที่ receptor ไม่ได้ทำให้ Bradykinin คั่ง</t>
  </si>
  <si>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</si>
  <si>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Metformin Pravastatin , Losartan `Cat X</t>
  </si>
  <si>
    <t>เพิ่มยา Losartan</t>
  </si>
  <si>
    <t>โครงสร้างอยู่ในรูปของ prodrug กรณีศึกษาที่ 3 Insomnia ผู้ป่วยหญิง อายุ 65 ปี มาขอซื้อยา Diazepam 5 mg tab โดยนำซองยาที่ได้มาจากโรงพยาบาลมาด้วย</t>
  </si>
  <si>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</si>
  <si>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pKa ประมาณ 3.6 ยาเป็นกรดละลายได้ดีในสารละลายกรดอ่อน</t>
  </si>
  <si>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</si>
  <si>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จากโครงสร้าง ยากลุ่ม ACEI ตัวใดที่ไม่ใช่ Prodrug</t>
  </si>
  <si>
    <t>Phenylephrine มีค่า Log P ต่ำกว่า Brompheniramine</t>
  </si>
  <si>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</si>
  <si>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ให$ SAR ของ progestin แล$วถามวGาการดัดแปลงตำแหนGงใดมีผลลด androgenic effect</t>
  </si>
  <si>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</si>
  <si>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46 (PLE_CC1_Key_Rx20_UBU.md)</t>
  </si>
  <si>
    <t>มีหมู่ mycosamine ทำให้ lipophilicity ต่ำ</t>
  </si>
  <si>
    <t>Cyclophosphamide เป็น prodrug</t>
  </si>
  <si>
    <t>tamoxifen เป็น prodrug มีการ metabolize ด้วย CYP2D6 ได้เป็น active metabolites - ข้อใดถูกต้อง</t>
  </si>
  <si>
    <t>ให้โครงสร้างคล้ายๆ sennoside (มี Al ตรงกลางด้วยปะ) ถามว่าจะสกัดด้วยตัวทำละลายอะไร[แนบรูป: ข้อสอบ Product ปี 2567 รหัสรูปภาพ image6]</t>
  </si>
  <si>
    <t>[แนบรูป: ข้อสอบ Product ปี 2567 รหัสรูปภาพ image6]</t>
  </si>
  <si>
    <t>Ethyl acetate</t>
  </si>
  <si>
    <t>Hexane</t>
  </si>
  <si>
    <t>Chloroform</t>
  </si>
  <si>
    <t>Water</t>
  </si>
  <si>
    <t>Dichloromethane</t>
  </si>
  <si>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</si>
  <si>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Medicinal Chemistry &amp; SAR</t>
  </si>
  <si>
    <t>ข้อสอบจริง Product ปี 2567 ข้อ 27</t>
  </si>
  <si>
    <t>(ปี 2566, Day 2 ข้อ 14\) (เรื่อง: การทดสอบโครงสร้าง Alkaloid - Nicotine gum) ให้โครงสร้าง Nicotine gum มา ควรตรวจด้วย test ใด</t>
  </si>
  <si>
    <t>Shinoda’s Test</t>
  </si>
  <si>
    <t>Dragendorff’s reagent เหตุผล: Nicotine เป็นสาร alkaloid, Dragendorff's reagent เป็น reagent มาตรฐานสำหรับตรวจกลุ่ม alkaloid ส่วน Shinoda's test ใช้ตรวจ flavonoid</t>
  </si>
  <si>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</si>
  <si>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2566 ข้อ 12</t>
  </si>
  <si>
    <t>โครงสร้างส่วนใดของ Loratadine ที่ทำให้ยามีความ selective ต่อ histamine 1 receptor [แนบรูป: ข้อสอบ Product ปี 2565 รหัสรูปภาพ image14]</t>
  </si>
  <si>
    <t>[แนบรูป: ข้อสอบ Product ปี 2565 รหัสรูปภาพ image14]</t>
  </si>
  <si>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</si>
  <si>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2565 ข้อ 88</t>
  </si>
  <si>
    <t>ยาในรูปแบบกินกับแผ่นแปะมีข้อแตกต่างที่เด่นชัดอย่างไรก. ยาในรูปแบบแผ่นแปะมี therapeutic effect ต่ำกว่า</t>
  </si>
  <si>
    <t>ยาในรูปแบบแผ่นแปะไม่มี first pass metabolism</t>
  </si>
  <si>
    <t>ยาในรูปแบบแผ่นแปะเกิด VTE มากกว่า \ จำ choice ไม่ได้ \ \ จำ choice ไม่ได้ \</t>
  </si>
  <si>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</si>
  <si>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2565 ข้อ 10</t>
  </si>
  <si>
    <t>ข้อใดถูกเกี่ยวกับ nicotine และ cotinine [แนบรูป: ข้อสอบ Product ปี 2565 รหัสรูปภาพ image17]</t>
  </si>
  <si>
    <t>[แนบรูป: ข้อสอบ Product ปี 2565 รหัสรูปภาพ image17]</t>
  </si>
  <si>
    <t>Nicotine แสดงคุณสมบัติเป็นกรดอ่อน มี pKa เท่ากับ 8.0</t>
  </si>
  <si>
    <t>Nicotine ในสภาวะ physiological pH สามารถดูดซึมผ่านเมมเบรนได้ดี</t>
  </si>
  <si>
    <t>Cotinine เป็น major metabolite ของ nicotine กรณีศึกษาที่ 9</t>
  </si>
  <si>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</si>
  <si>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2565 ข้อ 11</t>
  </si>
  <si>
    <t>จากโครงสร้าง ถ้า pKa ตำแหน่งสีเขียวลดลง จะทำให้เกิดอะไร [แนบรูป: ข้อสอบ Product ปี 2565 รหัสรูปภาพ image18]</t>
  </si>
  <si>
    <t>[แนบรูป: ข้อสอบ Product ปี 2565 รหัสรูปภาพ image18]</t>
  </si>
  <si>
    <t>ยาออกฤทธิ์ช้าลง</t>
  </si>
  <si>
    <t>ยาออกฤทธิ์นานขึ้น</t>
  </si>
  <si>
    <t>ยาถูก protonate ไวขึ้น</t>
  </si>
  <si>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</si>
  <si>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</si>
  <si>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2565 ข้อ 31</t>
  </si>
  <si>
    <t>โครงสร้างใดไม่ช่วยอาการร้อนวูบวาบ</t>
  </si>
  <si>
    <t>phytosterol</t>
  </si>
  <si>
    <t>anthraquinone</t>
  </si>
  <si>
    <t>stilbene</t>
  </si>
  <si>
    <t>isoflavone</t>
  </si>
  <si>
    <t>\ จำ choice ไม่ได้ \ กรณีศึกษา 15</t>
  </si>
  <si>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</si>
  <si>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พบว่า salbutamol เป็น Chiral molecule จึงมีทั้ง (R)-salbutamol และ (S)-salbutamol ข้อใดกล่าว ถูกต้องเกี่ยวกับสารผสม 50:50 ระหว่าง (R)-salbutamol และ (S)-salbutamol</t>
  </si>
  <si>
    <t>Chiral mixture</t>
  </si>
  <si>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</si>
  <si>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</si>
  <si>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2565 ข้อ 47</t>
  </si>
  <si>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</si>
  <si>
    <t>[แนบรูป: ข้อสอบ Product ปี 2563 รหัสรูปภาพ image96]</t>
  </si>
  <si>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</si>
  <si>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</si>
  <si>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2563 ข้อ 12</t>
  </si>
  <si>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</si>
  <si>
    <t>[แนบรูป: ข้อสอบ Product ปี 2563 รหัสรูปภาพ image98]</t>
  </si>
  <si>
    <t>Photolysis</t>
  </si>
  <si>
    <t>Dehydration</t>
  </si>
  <si>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</si>
  <si>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</si>
  <si>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2563 ข้อ 13</t>
  </si>
  <si>
    <t>ข้อใดไม่ควรเป็น flocculating agent ต้นฉบับ: Day 2 ข้อ 93</t>
  </si>
  <si>
    <t>Surfactant</t>
  </si>
  <si>
    <t>Polymer</t>
  </si>
  <si>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</si>
  <si>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</si>
  <si>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2563 ข้อ 56</t>
  </si>
  <si>
    <t>โครงสร้าง omeprazole ที่จำหน่ายเป็น racemic mixture ยา racemic mixture มีคุณสมบัติใด</t>
  </si>
  <si>
    <t>ละลายน้ำดี</t>
  </si>
  <si>
    <t>เป็น achiral molecule</t>
  </si>
  <si>
    <t>ไม่หมุนระนาบแสง polarized</t>
  </si>
  <si>
    <t>ยาดูดกลืนแสงหลายคลื่นความถี่</t>
  </si>
  <si>
    <t>Potent ดีกว่าที่ไม่ใช่ racemic mixture</t>
  </si>
  <si>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</si>
  <si>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2561 ข้อ 90</t>
  </si>
  <si>
    <t>เพราะเหตุใดจึงต้องมีการพัฒนาตำรับยา Amphotericin B ให้อยู่ในรูปแบบลิโปโซม (Liposomal Amphotericin B)?</t>
  </si>
  <si>
    <t>เพื่อลดการเกิดพิษ (Toxicity) โดยเฉพาะต่อไต</t>
  </si>
  <si>
    <t>เพื่อเพิ่มการละลายของตัวยา</t>
  </si>
  <si>
    <t>เพื่อเพิ่มการดูดซึมของยา</t>
  </si>
  <si>
    <t>เพื่อทำให้ยามีความคงตัวทางเคมีเพิ่มขึ้น</t>
  </si>
  <si>
    <t>เพื่อลดการเกิด Metabolism</t>
  </si>
  <si>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</si>
  <si>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2558 ข้อ 4</t>
  </si>
  <si>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</si>
  <si>
    <t>ปริมาณสิ่งปนเปื้อนชนิดสารอินทรีย์ (Organic impurities)</t>
  </si>
  <si>
    <t>ปริมาณสิ่งปนเปื้อนชนิดสารอนินทรีย์ (Inorganic impurities / Inorganic residues)</t>
  </si>
  <si>
    <t>ระบุชนิดและโครงสร้างของสารอินทรีย์ปนเปื้อน</t>
  </si>
  <si>
    <t>ระบุโครงสร้างทางเคมีของสารอนินทรีย์ปนเปื้อน</t>
  </si>
  <si>
    <t>ปริมาณของตัวทำละลายและสารที่ระเหยได้ง่ายด้วยความร้อน (Loss on drying)</t>
  </si>
  <si>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</si>
  <si>
    <t>ข้อสอบจริง Product ปี 2558 ข้อ 32</t>
  </si>
  <si>
    <t>หากนำ aspirin มาเคราะห์ความบริสุทธิ์จะมีโอกาสพบสารใด</t>
  </si>
  <si>
    <t>Sulfuric acid</t>
  </si>
  <si>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</si>
  <si>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92 (Pharmtutor_2024_Set1.md)</t>
  </si>
  <si>
    <t>ยาควบคุมพิเศษ (Special Controlled Drugs) ตามพระราชบัญญัติยา พ.ศ. 2510 มีข้อกำหนดทางกฎหมายที่เภสัชกรต้องปฏิบัติอย่างไร?</t>
  </si>
  <si>
    <t>จำหน่ายได้โดยไม่ต้องมีใบสั่งยาจากแพทย์ แต่ต้องจดบันทึก</t>
  </si>
  <si>
    <t>ต้องจำหน่ายตามใบสั่งยาของผู้ประกอบวิชาชีพเวชกรรมเท่านั้น และต้องจัดทำบัญชีการรับ-จ่ายยา</t>
  </si>
  <si>
    <t>จำหน่ายได้เฉพาะในโรงพยาบาลรัฐบาลเท่านั้น</t>
  </si>
  <si>
    <t>สามารถโฆษณาต่อประชาชนทั่วไปได้ตามปกติ</t>
  </si>
  <si>
    <t>เภสัชกรไม่ต้องอยู่ปฏิบัติการตลอดเวลาที่เปิดจำหน่าย</t>
  </si>
  <si>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</si>
  <si>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พ.ร.บ. ยา พ.ศ. 2510</t>
  </si>
  <si>
    <t>ข้อใดถูกต้องเกี่ยวกับ oral isotretinoin ในร้านยา</t>
  </si>
  <si>
    <t>จ่ายได้ แต่ต้องมีใบสั่งแพทย์</t>
  </si>
  <si>
    <t>จ่ายได้ โดยไม่มีใบสั่งแพทย์</t>
  </si>
  <si>
    <t>จ่ายได้ เฉพาะสถานพยาบาลที่มีแพทย์เฉพาะทาง</t>
  </si>
  <si>
    <t>จ่ายได้ เฉพาะคลินิกและโรงพยาบาล</t>
  </si>
  <si>
    <t>จ่ายได้ เฉพาะร้านยาที่ขึ้นทะเบียนเป็นร้านยาคุณภาพ</t>
  </si>
  <si>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</si>
  <si>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 oral isotretinoin มีเลขทะเบียน 1C 2554/55 หมายความว่าอย่างไร</t>
  </si>
  <si>
    <t>ยาเดี่ยวแผนปัจจุบันที่ผลิตในประเทศไทย</t>
  </si>
  <si>
    <t>ยาเดี่ยวแผนปัจจุบันที่นำเข้าจากต่างประเทศ</t>
  </si>
  <si>
    <t>ยาเดี่ยวแผนปัจจุบันที่แบ่งบรรจุในประเทศไทย</t>
  </si>
  <si>
    <t>ยาผสมแผนโบราณ ที่ผลิตในประเทศไทย</t>
  </si>
  <si>
    <t>ยาผสมแผนโบราณ ที่นำเข้าจากต่างประเทศ</t>
  </si>
  <si>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</si>
  <si>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ยาพ่น budesonide เป็นยาประเภทใดตามกฎหมาย</t>
  </si>
  <si>
    <t>ยาแผนปัจจุบันบรรจุเสร็จ</t>
  </si>
  <si>
    <t>ยาสามัญประจำบ้าน</t>
  </si>
  <si>
    <t>ยาใช้ภายนอก</t>
  </si>
  <si>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</si>
  <si>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</si>
  <si>
    <t>สังเกตแผ่นพับว่ามีเลขทะเบียนโฆษณาตามที่ อย. กำหนดหรือไม่ เช่น ฆยxxxx/xx หรือไม่</t>
  </si>
  <si>
    <t>แนะนำเรื่องความปลอดภัยในการใช้ยาแผนโบราณไม่มีเลขทะเบียน และขอให้ผู้ป่วยนำยามาให้เพื่อส่งตรวจ</t>
  </si>
  <si>
    <t>ไม่สามารถจ่ายยาลาดังกล่าวได้ เนื่องจากไม่มีใบอนุญาตขายยาแผนโบราณ</t>
  </si>
  <si>
    <t>แนะนำว่ายาแผนโบราณที่ใช้ภายนอกไม่มีเลขทะเบียนน่าจะใช้ได้ เพราะมีอันตรายน้อยกว่ายารับประทาน</t>
  </si>
  <si>
    <t>ไปหาทยาแผนโบราณดังกล่าวมาขาย เพราะมีลูกค้ามาถามซื้อ</t>
  </si>
  <si>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</si>
  <si>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ผู้ป่วยได้รับยา carbamazepine มาก่อนหน้านี้ แต่ยาที่ได้รับหมดอายุก่อนกำหนด 1 เดือน ยาดังกล่าวจัดเป็นยาประเภทใดตามกฎหมาย</t>
  </si>
  <si>
    <t>ยาสิ้นสภาพ</t>
  </si>
  <si>
    <t>ยาไม่ได้ขึ้นทะเบียนตำรับ</t>
  </si>
  <si>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</si>
  <si>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</si>
  <si>
    <t>ยาสิดมาตรฐาน</t>
  </si>
  <si>
    <t>ยาที่ไม่ได้ขึ้นทะเบียน</t>
  </si>
  <si>
    <t>ยาที่ถูกเพิกถอนทะเบียนตำรับ</t>
  </si>
  <si>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</si>
  <si>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การเบิกยาในโรงพยาบาลระบบ FIFO เป็นไปตามข้อใด</t>
  </si>
  <si>
    <t>เบิกยาจากคลังยาโดยเบิกยาที่ซื้อมากก่อน</t>
  </si>
  <si>
    <t>เบิกยาจากคลังยาโดยเบิกยาที่ใกล้หมดายุก่อน</t>
  </si>
  <si>
    <t>เบิกยาจากคลังยา โดยเบิก lot ที่ผลิตก่อน</t>
  </si>
  <si>
    <t>เบิกยาจากคลังยา โดยเบิกจาก lot ที่ซื้อมาจากบริษทายาก่อน</t>
  </si>
  <si>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</si>
  <si>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ข้อใดต่อไปนี้ คือ ยาผิดมาตรฐาน</t>
  </si>
  <si>
    <t>ยาที่หมดอายุแล้ว</t>
  </si>
  <si>
    <t>ยาที่ตรวจพบปริมาณยาสำคัญ ต่ำกว่าปริมาณต่ำสุด 15%</t>
  </si>
  <si>
    <t>ยาที่ตรวจพบปริมาณยาสำคัญ ต่ำกว่าปริมาณต่ำสุด 5%</t>
  </si>
  <si>
    <t>ยาที่ตรวจพบปริมาณยาสำคัญ สูงกว่าปริมาณสูงสุด 25%</t>
  </si>
  <si>
    <t>ยามีสิ่งเทียมเจือปนอยู่ ไม่เกิน 10%</t>
  </si>
  <si>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</si>
  <si>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14 Pharma Plus เล่มม่วง (เฉลยข้อ ข ค)</t>
  </si>
  <si>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</si>
  <si>
    <t>เหมือนกัน ทั้งสมุนไพรในรูปแคปซูล กับรูปชาชง เป็นยาแผนโบราณ</t>
  </si>
  <si>
    <t>เหมือนกัน ทั้งสมุนไพรในรูปแคปซูล กับรูปชาชง เป็นยาสมุนไพร</t>
  </si>
  <si>
    <t>เหมือนกัน ทั้งสมุนไพรในรูปแคปซูล กับรูปชาชง เป็นอาหาร</t>
  </si>
  <si>
    <t>ไม่เหมือนกัน สมุนไพรในรูปแคปซูล เป็นยาแผนโบราณ ส่วนรูปชาชง เป็นอาหาร</t>
  </si>
  <si>
    <t>ไม่เหมือนกัน สมุนไพรในรูปแคปซูล เป็นยาแผนโบราณ ส่วนรูปชาชงเป็นยาสมุนไพร</t>
  </si>
  <si>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</si>
  <si>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พ.ร.บ. ผลิตภัณฑ์สมุนไพร &amp; เครื่องสำอาง</t>
  </si>
  <si>
    <t>หากผู้ป่วยมาขอซื้อยา lorazepam tab ในร้านขายยาท่านสามารถจำหน่ายยาได้หรือไม่
ท่านสามารถจำหน่ายยาได้หรือไม่</t>
  </si>
  <si>
    <t>ได้หากมีใบอนุญาตจำหน่ายยาอันตราย</t>
  </si>
  <si>
    <t>ได้หากมีใบอนุญาตจำหน่ายวัตถุออกฤทธิ์</t>
  </si>
  <si>
    <t>ได้หากมีใบอนุญาตจำหน่ายยาเสพติดประเภท 2</t>
  </si>
  <si>
    <t>ไม่ได้เพราะเป็นยาเสพติดประเภท 2</t>
  </si>
  <si>
    <t>ไม่ได้เพราะเป็นวัตถุออกฤทธิ์</t>
  </si>
  <si>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</si>
  <si>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พ.ร.บ. ยาเสพติดให้โทษ &amp; วัตถุออกฤทธิ์</t>
  </si>
  <si>
    <t>จากการศึกษาความคุ้มค่าคุ้มทุน ของยา 2 ตัวได้แก่ captopril และ enalapril พบว่ามีค่า B/C ratioของ captopril = 0.5 และค่า B/C ratio ของยา enalapril = 0.7 ข้อใดถูกต้อง</t>
  </si>
  <si>
    <t>การศึกษานี้เป็นการประเมินทางด้านเศรษฐศาสตร์แบบ partial economic evaluations และเป็นการศึกษาแบบ cost analysis</t>
  </si>
  <si>
    <t>การศึกษานี้เป็นการประเมินทางด้านเศรษฐศาสตร์แบบ partial economic evaluations และเป็นการศึกษาแบบ cost-outcome description</t>
  </si>
  <si>
    <t>การศึกษานี้เป็นการประเมินทางด้านเศรษฐศาสตร์แบบ full economic evaluations และเป็นการศึกษาแบบ cost-benefit analysis (CBA)</t>
  </si>
  <si>
    <t>การศึกษานี้เป็นการประเมินทางด้านเศรษฐศาสตร์แบบ full economic evaluations และเป็นการศึกษาแบบ cost-utility analysis (CUA)</t>
  </si>
  <si>
    <t>การศึกษานี้เป็นการประเมินทางด้านเศรษฐศาสตร์แบบ full economic evaluations และเป็นการศึกษาแบบ cost-effectiveness analysis (CEA)</t>
  </si>
  <si>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</si>
  <si>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จากข้อ 17 ในกรณีที่ รพ. มีงบประมาณที่จำกัด ควรเลือกยาใด เพราะอะไร</t>
  </si>
  <si>
    <t>Enalapril เพราะต้นทุนต่ำกว่า captopril</t>
  </si>
  <si>
    <t>Enalapril เพราะ มี B/C ratio ต่ำกว่า มีความคุ้มค่าคุ้มทุนมากกว่า captopril</t>
  </si>
  <si>
    <t>Captopril มีประสิทธิภาพสูงกว่า</t>
  </si>
  <si>
    <t>Captopril เพราะมี B/C ratio สูงกว่า มีความคุ้มค่าคุ้มทุนมากกว่า enalapril</t>
  </si>
  <si>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</si>
  <si>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หากต้องการโฆษณา simvastatin ข้อใดถูกต้อง</t>
  </si>
  <si>
    <t>สามารถโฆษณากับผู้ประกอบโรคศิลป์ โดยไม่ต้องขออนุญาต</t>
  </si>
  <si>
    <t>สามารถโฆษณากับผู้ประกอบโรคศิลป์ โดยต้องขออนุญาต</t>
  </si>
  <si>
    <t>สามารถโฆษณากับแพทย์เฉพาะทางเท่านั้น โดยไม่ต้องขออนุญาตก่อน</t>
  </si>
  <si>
    <t>สามารถโฆษณากับแพทย์เฉพาะทางเท่านั้น โดยต้องขออนุญาตญาติก่อน</t>
  </si>
  <si>
    <t>ไม่สามารถโฆษณาได้</t>
  </si>
  <si>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</si>
  <si>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</si>
  <si>
    <t>Cost minimization analysis</t>
  </si>
  <si>
    <t>Cost effectiveness analysis</t>
  </si>
  <si>
    <t>Cost benefits analysis</t>
  </si>
  <si>
    <t>Cost utility analysis</t>
  </si>
  <si>
    <t>Cost outcome description</t>
  </si>
  <si>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</si>
  <si>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20 Pharma Plus เล่มม่วง (เฉลยข้อ ง)</t>
  </si>
  <si>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</si>
  <si>
    <t>ยานี้ผลิตในประเทศไทย ได้รับอนุญาตทะเบียนยาในปี พ.ศ.2545</t>
  </si>
  <si>
    <t>ยานี้ผลิตในประเทศไทย เมื่อวันที่ 8 ก.พ. 2545</t>
  </si>
  <si>
    <t>ยานี้ผลิตในประเทศไทยและจะหมดอายุในวันที่ 8 ก.พ. 2545</t>
  </si>
  <si>
    <t>ยานำเข้ามาจากต่างประเทศ ได้รับอนุญาตทะเบียนยาในปี พ.ศ.2545</t>
  </si>
  <si>
    <t>ยานำเข้ามาจากต่างประเทศ และผลิตเมื่อวันที่ 8 ก.พ. 2545</t>
  </si>
  <si>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</si>
  <si>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ยาทาครีม isotretinoin 0.05% จัดเป็นยาประเภทใดตามพ.ร.บ.ยา</t>
  </si>
  <si>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</si>
  <si>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Baby aspirin จัดเป็นยาประเภทใด</t>
  </si>
  <si>
    <t>ยาเสพติดให้โทษ</t>
  </si>
  <si>
    <t>วัตถุออกฤทธิ์ต่อจิตประสาท</t>
  </si>
  <si>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</si>
  <si>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</si>
  <si>
    <t>ผิดจรรยาบรรณแห่งวิชาชีพ</t>
  </si>
  <si>
    <t>ผิดกฎหมายยา</t>
  </si>
  <si>
    <t>ละเมิดสิทธิ์ของผู้ป่วย</t>
  </si>
  <si>
    <t>ผิดข้อบังคับสภาว่าด้วยข้อจำกัดและเงื่อนไขการปฏิบัติหน้าที่</t>
  </si>
  <si>
    <t>ไม่ทำตามประกาศเรื่องการเลือกสรร</t>
  </si>
  <si>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</si>
  <si>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ข้อใดถูกต้องเกี่ยวกับยา fluoxetine</t>
  </si>
  <si>
    <t>จัดอยู่ในประเภทยาอันตราย เภสัชกรสามารถจ่ายได้ในร้านยา</t>
  </si>
  <si>
    <t>จัดอยู่ในประเภทยาควบคุมพิเศษ เภสัชกรไม่สามารถจ่ายได้</t>
  </si>
  <si>
    <t>จัดอยู่ในประเภทยาอันตราย จ่ายได้ในเฉพาะโรงพยาบาล</t>
  </si>
  <si>
    <t>จัดอยู่ในประเภทยาเสพติดให้โทษประเภท 2 ต้องทำบัญชีรายงาน อย.</t>
  </si>
  <si>
    <t>จัดอยู่ในประเภทยาวัตถุออกฤทธิ์ต่อจิตประสาท</t>
  </si>
  <si>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</si>
  <si>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ยาที่ใช้ในการรักษาโรคหืดชนิดใด ซึ่งตามกฎหมายจัดเป็นยาควบคุมพิเศษ</t>
  </si>
  <si>
    <t>Turbutaline (2.5mg/tab)</t>
  </si>
  <si>
    <t>Prednisolone (5mg/tab)</t>
  </si>
  <si>
    <t>Inhaled fermoterol (4.5 mcg/dose)</t>
  </si>
  <si>
    <t>Inhaled beclomethasone</t>
  </si>
  <si>
    <t>Theophylline (200 mg sustained-release)</t>
  </si>
  <si>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</si>
  <si>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</si>
  <si>
    <t>เนื่องจากจัดเป็นยาเสพติดให้โทษ ประเภทที่ 2</t>
  </si>
  <si>
    <t>เนื่องจากจัดเป็นวัตถุออกฤทธิ์ต่อจิตประสาทประเภทที่ 2</t>
  </si>
  <si>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</si>
  <si>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</si>
  <si>
    <t>ยาแก้ไอ้น้ำดำ องค์การเภสัช ขนาด 60 ml</t>
  </si>
  <si>
    <t>ยาแก้ไอ้น้ำดำ องค์การเภสัช ขนาด 120 ml</t>
  </si>
  <si>
    <t>Cofeed (Diphenhydramine and ammonium chloride)</t>
  </si>
  <si>
    <t>Terco-D (Dextromethorphan and terpin hydrate)</t>
  </si>
  <si>
    <t>Godipect (Codeine phosphate and glycerylguaicolate)</t>
  </si>
  <si>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</si>
  <si>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28 Pharma Plus เล่มม่วง (เฉลยข้อ ก ค ง)</t>
  </si>
  <si>
    <t>ตาม พ.ร.บ.ยา พ.ศ. 2510 ยารับประทานคุมกำเนิดอยู่ในข้อใด
ยารับประทานคุมกำเนิดอยู่ในข้อใด</t>
  </si>
  <si>
    <t>ยาที่จ่ายตามใบสั่งแพทย์เท่านั้น</t>
  </si>
  <si>
    <t>ยาที่จ่ายได้โดยเภสัชกร</t>
  </si>
  <si>
    <t>ยาที่จ่ายได้ในร้านยาแผนปัจจุบันบรรจุเสร็จ</t>
  </si>
  <si>
    <t>ยาประเภท over the counter (OTC)</t>
  </si>
  <si>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</si>
  <si>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29 Pharma Plus เล่มม่วง (เฉลยข้อ ข ค)</t>
  </si>
  <si>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</si>
  <si>
    <t>ชื่อยา</t>
  </si>
  <si>
    <t>สารออกฤทธิ์</t>
  </si>
  <si>
    <t>ที่ตั้งสถานที่ผลิตยา</t>
  </si>
  <si>
    <t>วันเดือนปีที่ยาสิ้นอายุ</t>
  </si>
  <si>
    <t>เลขที่ทะเบียนโฆษณายา</t>
  </si>
  <si>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</si>
  <si>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32 Pharma Plus เล่มม่วง (เฉลยข้อ จ)</t>
  </si>
  <si>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</si>
  <si>
    <t>ยาแปรสภาพ</t>
  </si>
  <si>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</si>
  <si>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33 Pharma Plus เล่มม่วง (เฉลยข้อ ค)</t>
  </si>
  <si>
    <t>หากเภสัชกรยังไม่ได้เป็นผู้ประกอบวิชาชีพเภสัชกรรม ข้อใดกล่าวถูกต้อง</t>
  </si>
  <si>
    <t>เขาจะไม่สามารถพัฒนาตำรับ triamcinolone lotion นี้ขึ้นมาได้</t>
  </si>
  <si>
    <t>เขาจะไม่สามารถเป็นเจ้าของโรงงานผลิต triamcinolone lotion นี้ขึ้นมาได้</t>
  </si>
  <si>
    <t>เขาจะไม่สามารถระบุชื่อว่าเป็นผู้พัฒนา triamcinolone lotion ตำรับได้</t>
  </si>
  <si>
    <t>เขาจะไม่สามารถทำหน้าที่เป็นเภสัชกรควบคุมการผลิต triamcinolone lotion นี้ขึ้นมาได้</t>
  </si>
  <si>
    <t>เขาจะไม่สามารถทำหน้าที่เป็นผู้เดินเรื่องขึ้นทะเบียนตำรับนี้</t>
  </si>
  <si>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</si>
  <si>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เจ้าของโรงงานผลิต triamcinolone cream 0.1% จำหน่ายในขนาดบรรจุ 15 g จัดเป็นยาพวกใด</t>
  </si>
  <si>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</si>
  <si>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ยาตาข้อใดต่อไปนี้ เป็นยาสามัญประจำบ้าน</t>
  </si>
  <si>
    <t>Diclofenac ED</t>
  </si>
  <si>
    <t>Timolol ED</t>
  </si>
  <si>
    <t>Dexamethasone ED</t>
  </si>
  <si>
    <t>Tetracycline eye ointment</t>
  </si>
  <si>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</si>
  <si>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36 Pharma Plus เล่มม่วง (เฉลยข้อ ไมมีคำตอบ)</t>
  </si>
  <si>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</si>
  <si>
    <t>ยาสิ้นอายุ</t>
  </si>
  <si>
    <t>ยาต่ำกว่ามาตรฐาน</t>
  </si>
  <si>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</si>
  <si>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ยาในข้อใดที่เภสัชกรสามารถจ่ายได้เมื่อได้รับใบสั่งยาจากแพทย์เท่านั้น</t>
  </si>
  <si>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</si>
  <si>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ถ้าเภสัชกรจ่ายยาในข้อ 38 โดยไม่มีใบสั่งแพทย์จะมีความผิดในข้อใด</t>
  </si>
  <si>
    <t>จ่ายยาควบคุมพิเศษโดยไม่มีใบสั่งยา</t>
  </si>
  <si>
    <t>จ่ายยาอันตรายโดยไม่มีใบสั่งยา</t>
  </si>
  <si>
    <t>จ่ายยาประเภทวัตถุออกฤทธิ์ต่อจิตประสาทโดยไม่มีใบสั่งยา</t>
  </si>
  <si>
    <t>จ่ายยาประเภทยาเสพติดให้โทษประเภท 2 โดยไม่มีใบสั่งยา</t>
  </si>
  <si>
    <t>จ่ายยาประเภทยาเสพติดให้โทษประเภท 3 โดยไม่มีใบสั่งยา</t>
  </si>
  <si>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</si>
  <si>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ผงน้ำตาลเกลือแร่จัดเป็นยาประเภทใด</t>
  </si>
  <si>
    <t>ยาแผนโบราณ</t>
  </si>
  <si>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</si>
  <si>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ตารางแสดงการเกิด MI ในผู้ป่วยที่ใช้ยา atorvastatin และ simvastatin
ข้อใดถูก</t>
  </si>
  <si>
    <t>เป็นประชากรที่เกิด MI ทั้งเก่าและใหม่</t>
  </si>
  <si>
    <t>Atorvastatin เกิด MI ต่ำกว่า simvastatin</t>
  </si>
  <si>
    <t>Simvastatin ลดการเกิด MI ก่อนถึง 100 ปี</t>
  </si>
  <si>
    <t>Simvastatin เกิด MI ต่ำกว่า atorvastatin</t>
  </si>
  <si>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</si>
  <si>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47 Pharma Plus เล่มม่วง (เฉลยข้อ ข)</t>
  </si>
  <si>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</si>
  <si>
    <t>ลิขสิทธิ์</t>
  </si>
  <si>
    <t>เครื่องหมายการค้า</t>
  </si>
  <si>
    <t>สิทธิบัตร</t>
  </si>
  <si>
    <t>ความลับทางการค้า</t>
  </si>
  <si>
    <t>สิทธิเหนือสิทธิบัตร</t>
  </si>
  <si>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</si>
  <si>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ข้อใดคือยาผิดมาตรฐาน</t>
  </si>
  <si>
    <t>ผสม cotrimazole ร่วมกับ terbinafine เพื่อลดต้นทุน</t>
  </si>
  <si>
    <t>ในฉลากระบุวันหมดอายุ คือ มกราคม 2009 แต่ความจริงหมดอายุเมื่อ มกราคม 2019</t>
  </si>
  <si>
    <t>ยามี %LA = 87%</t>
  </si>
  <si>
    <t>ยาหมดอายุตามที่ระบุไว้ในฉลาก</t>
  </si>
  <si>
    <t>แจ้งที่อยู่ในการผลิต ไม่ตรงกับที่ขึ้นทะเบียนยา</t>
  </si>
  <si>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</si>
  <si>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Norfloxacin จัดอยู่ในบัญชียาหลักแห่งชาติบัญชีอะไร</t>
  </si>
  <si>
    <t>บัญชี ก</t>
  </si>
  <si>
    <t>บัญชี ข</t>
  </si>
  <si>
    <t>บัญชี ค</t>
  </si>
  <si>
    <t>บัญชี ง</t>
  </si>
  <si>
    <t>บัญชี จ</t>
  </si>
  <si>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</si>
  <si>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50 Pharma Plus เล่มม่วง (เฉลยข้อ ก)</t>
  </si>
  <si>
    <t>บัญชียา ก หมายถึง</t>
  </si>
  <si>
    <t>รายการยาที่ต้องใช้โดยผู้เชี่ยวชาญ</t>
  </si>
  <si>
    <t>รายการยาที่จำเป็นต้องใช้ในสถานพยาบาลบางระดับ</t>
  </si>
  <si>
    <t>รายการยาสำหรับใช้เฉพาะโครงการพิเศษของกระทรวง</t>
  </si>
  <si>
    <t>รายการยาที่มีความจำเป็นสำหรับสถานพยาบาลทุกระดับ</t>
  </si>
  <si>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</si>
  <si>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</si>
  <si>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</si>
  <si>
    <t>ได้ เนื่องจากได้รับอนุญาตขายยาแผนปัจจุบัน</t>
  </si>
  <si>
    <t>ได้ เนื่องจากเป็นยาบรรจุเสร็จที่ไม่ใช่ยาอันตรายหรือยาควบคุมพิเศษ</t>
  </si>
  <si>
    <t>ได้ เนื่องจากมีเภสัชกรประจำอยู่ตลอดเวลา</t>
  </si>
  <si>
    <t>ไม่ได้ เนื่องจากขายเฉพาะในสถานที่ที่ได้รับอนุญาตเท่านั้น</t>
  </si>
  <si>
    <t>ไม่ได้ เพราะไม่เห็นหน้าผู้ป่วย</t>
  </si>
  <si>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</si>
  <si>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ถ้าจะทำการทดลองผลของยา isotretinoin ต่อหญิงตั้งครรภ์ ข้อใดไม่ควรใช้</t>
  </si>
  <si>
    <t>Case-control</t>
  </si>
  <si>
    <t>Cohort</t>
  </si>
  <si>
    <t>ข้อ ข และ ค</t>
  </si>
  <si>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</si>
  <si>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</si>
  <si>
    <t>ผู้หญิงมีพฤติกรรมการให้ความร่วมมือในการใช้ยาดีกว่าผู้ชาย</t>
  </si>
  <si>
    <t>การเลือกใช้ยาบำบัดโดยการรับประทานยาเพียงครั้งเดียวต่อวันมีผลทำให้ผู้ป่วยมีพฤติกรรมให้ความร่วมมือต่อการใช้ยา</t>
  </si>
  <si>
    <t>ผู้ป่วยสูงอายุมีพฤติกรรมให้ความร่วมมือในการใช้ยาไม่เท่ากับผู้ป่วยวัยกลางคน</t>
  </si>
  <si>
    <t>คนมีการศึกษาสูงให้ความร่วมมือในการใช้ยากกว่าคนที่มีการศึกษาต่ำ</t>
  </si>
  <si>
    <t>การให้ยาน้ำ (ถ้าทำได้) จะทำให้ผู้ป่วยมีความร่วมมือในการใช้ยากกว่าการใช้ยาเม็ด</t>
  </si>
  <si>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</si>
  <si>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57 Pharma Plus เล่มม่วง (เฉลยข้อ ข)</t>
  </si>
  <si>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</si>
  <si>
    <t>จัดซื้อด้วยเงินงบประมาณเท่านั้น</t>
  </si>
  <si>
    <t>จัดซื้อด้วยวิธีกรณีพิเศษจากองค์การเภสัชกรรมถ้าวงเงินเกิน 50,000บาท</t>
  </si>
  <si>
    <t>จัดซื้อโดยวิธีตกลงราคาจากองค์การเภสัชกรรมเท่านั้น ไม่จำกัดวงเงิน</t>
  </si>
  <si>
    <t>จัดซื้อโดยวิธีตกลงราคาจากบริษัทใดก็ได้ถ้าวงเงินไม่เกิน 50,000 บาท</t>
  </si>
  <si>
    <t>จัดซื้อด้วยวิธีกรณีพิเศษจากองค์การเภสัชกรรม ไม่จำกัดวงเงิน</t>
  </si>
  <si>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</si>
  <si>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Propylthiouracil จัดอยู่ในบัญชี ก ตามบัญชียาหลักแห่งชาติ 2542 ยาที่อยู่ในบัญชี ก หมายถึงข้อใด</t>
  </si>
  <si>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</si>
  <si>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</si>
  <si>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</si>
  <si>
    <t>ยานี้ผลิตในประเทศไทย ได้รับอนุญาตทะเบียนยาในปี พ.ศ. 2557</t>
  </si>
  <si>
    <t>ยานี้ผลิตในประเทศไทย เมื่อวันที่ 8 ก.พ. 2557</t>
  </si>
  <si>
    <t>ยานี้ผลิตในประเทศไทยและหมดอายุในวันที่ 8 ก.พ. 2557</t>
  </si>
  <si>
    <t>ยานี้นำเข้ามาจากต่างประเทศ ได้รับอนุญาตทะเบียนยาในปี พ.ศ. 2557</t>
  </si>
  <si>
    <t>ยานี้นำเข้ามาจากต่างประเทศ และผลิตเมื่อวันที่ 8 ก.พ. 2557</t>
  </si>
  <si>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</si>
  <si>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61 Pharma Plus เล่มม่วง (เฉลยข้อ ง)</t>
  </si>
  <si>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</si>
  <si>
    <t>1 ชนิด</t>
  </si>
  <si>
    <t>2 ชนิด</t>
  </si>
  <si>
    <t>3 ชนิด</t>
  </si>
  <si>
    <t>4 ชนิด</t>
  </si>
  <si>
    <t>5 ชนิด</t>
  </si>
  <si>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</si>
  <si>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ท่านควรอธิบายเกี่ยวกับยา ยารักษาสิว isotretinoin ที่ผู้ป่วยต้องการซื้ออย่างไร</t>
  </si>
  <si>
    <t>ยานี้จัดเป็นยาควบคุมพิเศษตามกฎหมาย ต้องใช้ใบสั่งแพทย์ เภสัชกรไม่สามารถจ่ายเองได้</t>
  </si>
  <si>
    <t>ยานี้จัดเป็นยาควบคุมพิเศษตามกฎหมาย เภสัชกรจ่ายได้ ไม่ต้องใช้ใบสั่งแพทย์</t>
  </si>
  <si>
    <t>ยานี้จัดเป็นยาอันตราย เภสัชกรจ่ายได้ ไม่ต้องใช้ใบสั่งแพทย์</t>
  </si>
  <si>
    <t>ยานี้จัดเป็นยาอันตราย เภสัชกรสามารถจ่ายได้หากมีใบสั่งแพทย์</t>
  </si>
  <si>
    <t>ยานี้ไม่สามารถขายได้ในร้านยา ต้องซื้อจากคลินิกแพทย์หรือสถานพยาบาลเท่านั้น</t>
  </si>
  <si>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</si>
  <si>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69 Pharma Plus เล่มม่วง (เฉลยข้อ จ)</t>
  </si>
  <si>
    <t>Itraconazole เป็นยาประเภทใดตามกฎหมาย</t>
  </si>
  <si>
    <t>ยาแผนปัจจุบันที่ไม่ใช่ยาอันตรายและยาควบคุมพิเศษ</t>
  </si>
  <si>
    <t>ยาเสพติดให้โทษประเภทที่ 3</t>
  </si>
  <si>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</si>
  <si>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70 Pharma Plus เล่มม่วง (เฉลยข้อ ข)</t>
  </si>
  <si>
    <t>FBC ชื่อการค้าหนึ่ง มีเลขทะเบียน 2C039/46 ข้อใดผิด</t>
  </si>
  <si>
    <t>ยาสำหรับมนุษย์</t>
  </si>
  <si>
    <t>ยาแบ่งบรรจุในประเทศ</t>
  </si>
  <si>
    <t>ยาขึ้นทะเบียนปี 2546</t>
  </si>
  <si>
    <t>ยานำเข้าจากต่างประเทศ</t>
  </si>
  <si>
    <t>ในปีที่ขึ้นทะเบียน ยานี้อยู่ในลำดับที่ 39</t>
  </si>
  <si>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</si>
  <si>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71 Pharma Plus เล่มม่วง (เฉลยข้อ ข)</t>
  </si>
  <si>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</si>
  <si>
    <t>ยาต้องห้าม</t>
  </si>
  <si>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</si>
  <si>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Lomotil® จัดเป็นยาประเภทใดตามกฎหมายและเภสัชกรสามารถจ่ายได้ในร้านยาหรือไม่</t>
  </si>
  <si>
    <t>ยาอันตราย สามารถจ่ายในร้านยา ขย.1 ได้</t>
  </si>
  <si>
    <t>ยาแผนปัจจุบันบรรจุเสร็จ สามารถจ่ายในร้านยา ขย.1 และ ขย.2 ได้</t>
  </si>
  <si>
    <t>ยาสามัญประจำบ้าน สามารถจ่ายในร้านยา ขย.1 และขย.2 ได้</t>
  </si>
  <si>
    <t>ยาเสพติดให้โทษประเภทที่ 3 ห้ามจำหน่ายในร้านยา</t>
  </si>
  <si>
    <t>ยาเสพติดให้โทษประเภทที่ 3 สามารถจ่ายในร้านยา ขย.1 ได้ แต่ต้องมีใบอนุญาต</t>
  </si>
  <si>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</si>
  <si>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73 Pharma Plus เล่มม่วง (เฉลยข้อ จ)</t>
  </si>
  <si>
    <t>การโฆษณาว่า indomethacin สามารถลดปวดได้ดีในผู้ป่วยโรคเกาท์ สามารถทำได้หรือไม่</t>
  </si>
  <si>
    <t>ได้ เพราะไม่มีข้อห้ามทางกฎหมาย</t>
  </si>
  <si>
    <t>ได้ แต่ต้องขออนุญาตก่อน</t>
  </si>
  <si>
    <t>ไม่ได้ เพราะเป็นการอวดอ้างสรรพคุณ</t>
  </si>
  <si>
    <t>ไม่ได้ เพราะกฎหมายยาห้ามโฆษณาขายยาอันตราย</t>
  </si>
  <si>
    <t>ไม่ได้ เพราะกฎหมายยาห้ามโฆษณาขายยาควบคุมพิเศษ</t>
  </si>
  <si>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</si>
  <si>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74 Pharma Plus เล่มม่วง (เฉลยข้อ ง)</t>
  </si>
  <si>
    <t>ผู้ป่วยต้องการซื้อยา budesonide สามารถซื้อได้ที่ใด</t>
  </si>
  <si>
    <t>ร้านสะดวกซื้อทั่วไป</t>
  </si>
  <si>
    <t>ร้านยา ข.ย. 2</t>
  </si>
  <si>
    <t>ร้านขายยาแผนปัจจุบัน โดยไม่ต้องมีใบสั่งแพทย์</t>
  </si>
  <si>
    <t>ร้านขายยาแผนปัจจุบัน โดยต้องมีใบสั่งแพทย์</t>
  </si>
  <si>
    <t>โรงพยาบาลเท่านั้น</t>
  </si>
  <si>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</si>
  <si>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75 Pharma Plus เล่มม่วง (เฉลยข้อ ค)</t>
  </si>
  <si>
    <t>ข้อใดถูกต้องเกี่ยวกับการจัดซื้อ prednisolone ชนิดรับประทาน</t>
  </si>
  <si>
    <t>เป็นยาควบคุมพิเศษ ต้องซื้อโดยวิธีตกลงราคาในกรณีที่ซื้อน้อยกว่า 100,000 บาท</t>
  </si>
  <si>
    <t>เป็นยาควบคุมพิเศษ ต้องซื้อโดยวิธีสอบราคาในกรณีที่ซื้อน้อยกว่า 100,000 บาท</t>
  </si>
  <si>
    <t>เป็นยาควบคุมพิเศษ ต้องซื้อโดยวิธีประกวดราคาในกรณีที่ซื้อน้อยกว่า 100,000 บาท</t>
  </si>
  <si>
    <t>เป็นยาอันตราย ต้องซื้อโดยวิธีตกลงราคาในกรณีที่ซื้อน้อยกว่า 100,000 บาท</t>
  </si>
  <si>
    <t>เป็นยาอันตราย ต้องซื้อโดยวิธีสอบราคาในกรณีที่ซื้อน้อยกว่า 100,000 บาท</t>
  </si>
  <si>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</si>
  <si>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76 Pharma Plus เล่มม่วง (เฉลยข้อ ก)</t>
  </si>
  <si>
    <t>Insulin จัดเป็นยาประเภทใด</t>
  </si>
  <si>
    <t>ยาสำคัญประจำบ้าน</t>
  </si>
  <si>
    <t>ยาบรรจุเสร็จที่ไม่ใช่ยาอันตรายและยาควบคุมพิเศษ</t>
  </si>
  <si>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</si>
  <si>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การโฆษณาคุมกำเนิดเป็นยาสำหรับคุมกำเนิด กระทำได้หรือไม่ เพราะเหตุใด</t>
  </si>
  <si>
    <t>กระทำได้ เพราะไม่มีข้อห้ามใดในกฎหมายยา</t>
  </si>
  <si>
    <t>กระทำได้แต่ต้องให้รัฐมนตรีอนุญาตก่อน</t>
  </si>
  <si>
    <t>กระทำไม่ได้ เพราะกฎหมายห้ามโฆษณาสรรพคุณยาอันตรายและยาควบคุมพิเศษ</t>
  </si>
  <si>
    <t>กระทำไม่ได้ เพราะกฎหมายห้ามมิให้แสดงสรรพคุณว่าเป็นยาคุมกำเนิดหรือยาบำรุงกาม</t>
  </si>
  <si>
    <t>ข้อ ค และ ง ถูกต้อง</t>
  </si>
  <si>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</si>
  <si>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78 Pharma Plus เล่มม่วง (เฉลยข้อ จ)</t>
  </si>
  <si>
    <t>ยาในข้อใดมีประเภทตามกฎหมายเช่นเดียวกับ cotrimoxazole</t>
  </si>
  <si>
    <t>Amitriptyline, brown mixture ขนาด 120 ml</t>
  </si>
  <si>
    <t>Tramadol, alprazolam</t>
  </si>
  <si>
    <t>Fluoxetine, topical steroid</t>
  </si>
  <si>
    <t>Methotrexate, Benadryl</t>
  </si>
  <si>
    <t>Isotretinoin, Imodium</t>
  </si>
  <si>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</si>
  <si>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79 Pharma Plus เล่มม่วง (เฉลยข้อ ไมมีคำตอบ)</t>
  </si>
  <si>
    <t>ข้อใดถูกต้องสำหรับยา haloperidol</t>
  </si>
  <si>
    <t>จัดอยู่ในประเภทอันตราย เภสัชกรสามารถจ่ายได้ในร้านยา</t>
  </si>
  <si>
    <t>จัดอยู่ในประเภทยาควบคุมพิเศษ เภสัชกรสามารถจ่ายได้หากมีใบสั่งแพทย์</t>
  </si>
  <si>
    <t>จัดอยู่ในประเภทอันตราย จ่ายได้เฉพาะในโรงพยาบาล</t>
  </si>
  <si>
    <t>จัดอยู่ในประเภทยาเสพติดให้โทษประเภทที่ 3 ต้องทำบัญชีรายงานคณะกรรมการอาหารและยา</t>
  </si>
  <si>
    <t>จัดอยู่ในประเภทวัตถุออกฤทธิ์ต่อจิตประสาท</t>
  </si>
  <si>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</si>
  <si>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80 Pharma Plus เล่มม่วง (เฉลยข้อ ข)</t>
  </si>
  <si>
    <t>ยา risperidone มีเลขทะเบียนดังนี้: 1A253/49 จากเลขทะเบียนดังกล่าว ข้อใดมีความหมายถูกต้อง</t>
  </si>
  <si>
    <t>เป็นยาเดี่ยวสำหรับมนุษย์ ผลิตในประเทศ</t>
  </si>
  <si>
    <t>เป็นยาแผนปัจจุบัน นำเข้าจากต่างประเทศ</t>
  </si>
  <si>
    <t>เป็นยาแผนปัจจุบัน แบ่งบรรจุ</t>
  </si>
  <si>
    <t>เป็นยาผสม ขึ้นทะเบียนในปี พ.ศ.2549</t>
  </si>
  <si>
    <t>เป็นยาเดี่ยว ขึ้นทะเบียนแบบมีเงื่อนไข</t>
  </si>
  <si>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</si>
  <si>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81 Pharma Plus เล่มม่วง (เฉลยข้อ ก)</t>
  </si>
  <si>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</si>
  <si>
    <t>จ่ายไม่ได้ เพราะเป็นวัตถุออกฤทธิ์ต่อจิตประสาทประเภทที่ 4</t>
  </si>
  <si>
    <t>จ่ายไม่ได้ เพราะเป็นยาเสพติดให้โทษประเภทที่ 3</t>
  </si>
  <si>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</si>
  <si>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82 Pharma Plus เล่มม่วง (เฉลยข้อ จ)</t>
  </si>
  <si>
    <t>ยาลดกรดในข้อใดที่เป็นยาสามัญประจำบ้าน</t>
  </si>
  <si>
    <t>Aluminium hydroxide gel</t>
  </si>
  <si>
    <t>ยาธาตุน้ำแดง</t>
  </si>
  <si>
    <t>Bismuth compound</t>
  </si>
  <si>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</si>
  <si>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83 Pharma Plus เล่มม่วง (เฉลยข้อ ข ง)</t>
  </si>
  <si>
    <t>Bromhexine จัดอยู่ในยาประเภทใดตาม พรบ. ยา 2510</t>
  </si>
  <si>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</si>
  <si>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84 Pharma Plus เล่มม่วง (เฉลยข้อ ข)</t>
  </si>
  <si>
    <t>ข้างขวดยา GPO vir S 40 เขียนว่า 2A 2/46 (NC)
ข้อใดกล่าวไม่ถูกต้อง</t>
  </si>
  <si>
    <t>ยานี้จดทะเบียนยาแบบมีเงื่อนไข</t>
  </si>
  <si>
    <t>เป็นยาแผนปัจจุบันสำหรับมนุษย์</t>
  </si>
  <si>
    <t>เป็นยาผสม</t>
  </si>
  <si>
    <t>เป็นยาแบ่งบรรจุ</t>
  </si>
  <si>
    <t>เป็นยาใหม่</t>
  </si>
  <si>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</si>
  <si>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85 Pharma Plus เล่มม่วง (เฉลยข้อ ง)</t>
  </si>
  <si>
    <t>ยาต้านไวรัสเอชไอวีเป็นยาประเภทใดตามกฎหมายไทย</t>
  </si>
  <si>
    <t>ยากำพร้า</t>
  </si>
  <si>
    <t>ถูกทั้งข้อ ก. และ ข.</t>
  </si>
  <si>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</si>
  <si>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86 Pharma Plus เล่มม่วง (เฉลยข้อ ข)</t>
  </si>
  <si>
    <t>ยาในข้อใดไม่จัดอยู่ในประเภททายาตามกฎหมายประเภทเดียวกับ ciprofloxacin</t>
  </si>
  <si>
    <t>Oristat tablets</t>
  </si>
  <si>
    <t>Topical 0.05% isotretinoin</t>
  </si>
  <si>
    <t>0.1% TA cream</t>
  </si>
  <si>
    <t>Carbocystein tablets</t>
  </si>
  <si>
    <t>Fluoxitine tablets</t>
  </si>
  <si>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</si>
  <si>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87 Pharma Plus เล่มม่วง (เฉลยข้อ ง)</t>
  </si>
  <si>
    <t>เภสัชกรไม่ควรหยิบ ciprofloxacin จากขวดใดให้ คนไข้</t>
  </si>
  <si>
    <t>ขวดที่มียาเม็ดเปลี่ยนสี</t>
  </si>
  <si>
    <t>ขวดที่มียาเม็ดบิ่น</t>
  </si>
  <si>
    <t>ที่ขวดเขียนว่า Mfd. 02/2010</t>
  </si>
  <si>
    <t>ที่ขวดเขียนว่า Exp. 02/2015</t>
  </si>
  <si>
    <t>ขวดที่ฉลากมีรอยเปื้อน</t>
  </si>
  <si>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</si>
  <si>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88 Pharma Plus เล่มม่วง (เฉลยข้อ ก ง)</t>
  </si>
  <si>
    <t>Sucralfate เป็นยาในบัญชียาหลักแห่งชาติ ในหมวดบัญชี ค หมายถึงข้อใด</t>
  </si>
  <si>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</si>
  <si>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</si>
  <si>
    <t>รายการยาที่ต้องใช้ในโรคเฉพาะทาง โดยผู้ชำนาญ หรือผู้ที่ได้รับมอบหมายจากผู้อำนวยการของสถานพยาบาลนั้น ๆ</t>
  </si>
  <si>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</si>
  <si>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</si>
  <si>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</si>
  <si>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95 Pharma Plus เล่มม่วง (เฉลยข้อ ค)</t>
  </si>
  <si>
    <t>องค์การเภสัชกรรมมีการผลิตและมีจำหน่ายยา praziquantel เภสัชกรประจำโรงพยาบาลทำการสั่งซื้อยาอย่างไร</t>
  </si>
  <si>
    <t>ตกลงราคาถ้าวงเงินไม่เกิน 100,000 บาท</t>
  </si>
  <si>
    <t>สอบราคาถ้าวงเงินไม่เกิน 100,000 บาท</t>
  </si>
  <si>
    <t>ประกวดราคาถ้าวงเงินไม่เกิน 100,000 บาท</t>
  </si>
  <si>
    <t>วิธีพิเศษไม่จำกัดวงเงิน</t>
  </si>
  <si>
    <t>วิธีกรณีพิเศษไม่จำกัดวงเงิน</t>
  </si>
  <si>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</si>
  <si>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96 Pharma Plus เล่มม่วง (เฉลยข้อ จ)</t>
  </si>
  <si>
    <t>ถ้ายา antacid วิเคราะห์พบว่า มีตัวยาสำคัญ 3.05 mg/100 ml แต่ในฉลากยาระบุว่า 4.4 mg/100 ml ถามว่าจัดเป็นยากลุ่มใด</t>
  </si>
  <si>
    <t>ยาปนเปื้อน</t>
  </si>
  <si>
    <t>ยาเรียกคืน</t>
  </si>
  <si>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</si>
  <si>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97 Pharma Plus เล่มม่วง (เฉลยข้อ ก)</t>
  </si>
  <si>
    <t>ข้อใดถูก</t>
  </si>
  <si>
    <t>ยาสามัญประจำบ้าน ต้องบอกเฉพาะชื่อสามัญ ห้ามเขียนชื่อการค้า</t>
  </si>
  <si>
    <t>ยาสามัญประจำบ้าน ต้องเขียนคำว่า "ยาสามัญประจำบ้าน" ตัวสีแดงระบุไว้</t>
  </si>
  <si>
    <t>องค์การเภสัชกรรมต้องขออนุญาตผลิตยาในกรณีที่ไม่ใช่ยาสามัญประจำบ้าน</t>
  </si>
  <si>
    <t>โฆษณาได้แต่ต้องขออนุญาตก่อน รวมถึงในกรณีที่โฆษณากับผู้ประกอบโรคศิลป์ผ่านสื่อต่างๆ</t>
  </si>
  <si>
    <t>ยาสามัญประจำบ้าน ในกรณีไม่มีพื้นที่เพียงพอไม่ต้องเขียนคำว่า "ยาสามัญประจำบ้าน" ได้แต่ต้องขออนุญาต</t>
  </si>
  <si>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</si>
  <si>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98 Pharma Plus เล่มม่วง (เฉลยข้อ ง)</t>
  </si>
  <si>
    <t>เภสัชกรร้านยา สามารถจ่ายยาแก่ผู้ป่วยรายนี้ ตามกรณีใดได้ โดยไม่ผิด ตาม พ.ร.บ. ยา 2510</t>
  </si>
  <si>
    <t>จ่ายยา diclofenac tab 25 mg ที่เลยวันหมดอายุตามฉลากไปแล้ว 2 วัน</t>
  </si>
  <si>
    <t>จ่ายยา piroxicam cap 10 mg ที่ยังไม่ถึงวันหมดอายุตามฉลาก แต่ลักษณะเม็ดยากระด่างกระดำ</t>
  </si>
  <si>
    <t>จ่ายยาเม็ด tolperisone 50 mg และ diclofenac 25 mg ใส่ในซองเดียวกัน อย่างละ 1 เม็ด หลังอาหาร</t>
  </si>
  <si>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</si>
  <si>
    <t>นำยา rofecoxib 25 mg ซึ่งซื้อมาจากร้านค้าปลอดภาษีที่สิงคโปร์และมีราคาถูกกว่าทำในประเทศไทยมาขายที่ร้านยา</t>
  </si>
  <si>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</si>
  <si>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99 Pharma Plus เล่มม่วง (เฉลยข้อ ง)</t>
  </si>
  <si>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</si>
  <si>
    <t>Cost minimization analysis (CMA)</t>
  </si>
  <si>
    <t>Cost effectiveness analysis (CEA)</t>
  </si>
  <si>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</si>
  <si>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100 Pharma Plus เล่มม่วง (เฉลยข้อ ง)</t>
  </si>
  <si>
    <t>เภสัชกรที่ร้านขายยาไม่สามารถจ่ายยาต่อไปนี้ให้ผู้ป่วยรายนี้ได้</t>
  </si>
  <si>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</si>
  <si>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101 Pharma Plus เล่มม่วง (เฉลยข้อ ง)</t>
  </si>
  <si>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</si>
  <si>
    <t>Cohort study</t>
  </si>
  <si>
    <t>Crossover study</t>
  </si>
  <si>
    <t>Control study</t>
  </si>
  <si>
    <t>Case-control study</t>
  </si>
  <si>
    <t>Cross-section study</t>
  </si>
  <si>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</si>
  <si>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104 Pharma Plus เล่มม่วง (เฉลยข้อ ค)</t>
  </si>
  <si>
    <t>เด็กทารกได้รับการฉีดวัคซีน หลังจากนั้นเด็กมีอาการไข้สูง 39 °C ชัก จะมาเรียกร้องค่าเสียหายได้หรือไม่ เพราะเหตุใด</t>
  </si>
  <si>
    <t>ได้ ผู้บริโภคมีสิทธิที่จะได้รับการพิจารณาและได้รับค่าเสียหาย</t>
  </si>
  <si>
    <t>ได้ ผู้บริโภคมีสิทธิที่จะปฏิเสธไม่รับวัคซีน</t>
  </si>
  <si>
    <t>ไม่ได้ เนื่องจากผู้บริโภคมีสิทธิที่จะทราบผลดี ผลเสีย แต่ไม่ทำ</t>
  </si>
  <si>
    <t>ไม่ได้ เนื่องจากอาการข้างเคียงที่เกิดขึ้นพบน้อย</t>
  </si>
  <si>
    <t>ไม่ได้ เนื่องจากไม่มีความผิดในการรักษา</t>
  </si>
  <si>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</si>
  <si>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107 Pharma Plus เล่มม่วง (เฉลยข้อ จ)</t>
  </si>
  <si>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</si>
  <si>
    <t>ยาด้อยคุณภาพ</t>
  </si>
  <si>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</si>
  <si>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108 Pharma Plus เล่มม่วง (เฉลยข้อ ก)</t>
  </si>
  <si>
    <t>ข้อใดไม่ใช่ใช้อำนาจของสารวัตรอาหารและยา ในการปฏิบัติหน้าที่ตามพระราชบัญญัติยา</t>
  </si>
  <si>
    <t>ยึดหรืออายัดยา</t>
  </si>
  <si>
    <t>เข้าไปตรวจร้านยานอกเวลาทำการ</t>
  </si>
  <si>
    <t>นำยาไปทำลายตามข้อกำหนดกระทรวง</t>
  </si>
  <si>
    <t>นำยาไปเป็นตัวอย่างเพื่อการตรวจวิเคราะห์</t>
  </si>
  <si>
    <t>ให้ร้านยาเรียกเก็บคืนภายในเวลาที่กำหนด</t>
  </si>
  <si>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</si>
  <si>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109 Pharma Plus เล่มม่วง (เฉลยข้อ ข)</t>
  </si>
  <si>
    <t>ตามกฎหมายไทยในปัจจุบัน ยากลุ่มใดที่ต้องใช้ใบสั่งแพทย์ในการจ่ายยา</t>
  </si>
  <si>
    <t>Antipsychotic drugs</t>
  </si>
  <si>
    <t>Hypnotic drugs กลุ่ม BZD</t>
  </si>
  <si>
    <t>Antidepressant กลุ่ม SSRI</t>
  </si>
  <si>
    <t>Melatonin receptor agonist</t>
  </si>
  <si>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</si>
  <si>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110 Pharma Plus เล่มม่วง (เฉลยข้อ ก ข)</t>
  </si>
  <si>
    <t>เหตุใดร้านขายยาจึงขาย Phenobarbital ไม่ได้</t>
  </si>
  <si>
    <t>เพราะยังไม่มีใบอนุญาตมีจำหน่ายวัตถุออกฤทธิ์ต่อจิตประสาทประเภท 3</t>
  </si>
  <si>
    <t>เพราะยังไม่มีใบอนุญาตมีจำหน่ายวัตถุออกฤทธิ์ต่อจิตประสาทประเภท 4</t>
  </si>
  <si>
    <t>เพราะยังไม่มีใบอนุญาตมีจำหน่ายยาอันตราย</t>
  </si>
  <si>
    <t>เพราะยังไม่มีใบอนุญาตมีจำหน่ายยาควบคุมพิเศษ</t>
  </si>
  <si>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</si>
  <si>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111 Pharma Plus เล่มม่วง (เฉลยข้อ ข)</t>
  </si>
  <si>
    <t>จัดอยู่ในประเภทควบคุมพิเศษ เภสัชกรไม่สามารถจ่ายได้</t>
  </si>
  <si>
    <t>จัดอยู่ในประเภทยาเสพติดให้โทษประเภท 4 ต้องทำบัญชีรายงานคณะกรรมการอาหารและยา</t>
  </si>
  <si>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</si>
  <si>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112 Pharma Plus เล่มม่วง (เฉลยข้อ ก)</t>
  </si>
  <si>
    <t>Clozapine จัดเป็นยาในข้อใด</t>
  </si>
  <si>
    <t>ยาบรรจุเสร็จ</t>
  </si>
  <si>
    <t>ยาเสพติด</t>
  </si>
  <si>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</si>
  <si>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113 Pharma Plus เล่มม่วง (เฉลยข้อ จ)</t>
  </si>
  <si>
    <t>Flunarizine จัดเป็นยาในข้อใด</t>
  </si>
  <si>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</si>
  <si>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114 Pharma Plus เล่มม่วง (เฉลยข้อ ก)</t>
  </si>
  <si>
    <t>ข้อใดไม่ใช่บทบาทเภสัชกรในการจ่ายยา clozapine</t>
  </si>
  <si>
    <t>ต้องอยู่ประจำร้านเวลาเปิดการ</t>
  </si>
  <si>
    <t>ต้องจ่ายยาตามใบสั่งแพทย์</t>
  </si>
  <si>
    <t>ต้องควบคุมการจัดยาให้เป็นสัดส่วน</t>
  </si>
  <si>
    <t>ต้องควบคุมบัญชีซื้อ-จ่าย</t>
  </si>
  <si>
    <t>ต้องควบคุมการแบ่งบรรจุและฉลาก</t>
  </si>
  <si>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</si>
  <si>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115 Pharma Plus เล่มม่วง (เฉลยข้อ จ)</t>
  </si>
  <si>
    <t>imipramine เป็นยาอันตราย</t>
  </si>
  <si>
    <t>วัตถุออกฤทธิ์ต่อจิตประสาท ประเภท 3 ห้ามขายในร้านยา</t>
  </si>
  <si>
    <t>ยาจิตเภทเป็นยาควบคุมพิเศษ</t>
  </si>
  <si>
    <t>ยาสงบระงับ (tranquilizer) เป็นยาอันตราย ยกเว้นประกาศเป็นยาควบคุมพิเศษ</t>
  </si>
  <si>
    <t>ยาสงบระงับ (tranquilizer) เป็นยาอันตราย ยกเว้นประกาศเป็นวัตถุออกฤทธิ์ต่อจิตประสาท</t>
  </si>
  <si>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</si>
  <si>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116 Pharma Plus เล่มม่วง (เฉลยข้อ ข)</t>
  </si>
  <si>
    <t>ท่านสามารถจ่ายยา diazepam 5 mg tablet ได้หรือไม่</t>
  </si>
  <si>
    <t>ได้ เพราะเป็นการจ่ายยาต่อเนื่องจากแพทย์ (refill medication)</t>
  </si>
  <si>
    <t>ได้ เพราะบ้านผู้ป่วยอยู่ห่างจากโรงพยาบาล 10 กิโลเมตร</t>
  </si>
  <si>
    <t>ไม่ได้ เพราะไม่อนุญาตให้ขายยานี้ในร้านยา</t>
  </si>
  <si>
    <t>ไม่ได้ เพราะยานี้ต้องจ่ายตามใบสั่งยา</t>
  </si>
  <si>
    <t>ไม่ได้ เพราะเป็นยาควบคุมพิเศษ</t>
  </si>
  <si>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</si>
  <si>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117 Pharma Plus เล่มม่วง (เฉลยข้อ ข)</t>
  </si>
  <si>
    <t>จากข้อกำหนดเกณฑ์ขั้นตอนของร้านยาคุณภาพของสภาเภสัชกรรม ข้อใดไม่อยู่ในเกณฑ์ดังกล่าว</t>
  </si>
  <si>
    <t>มีระบบควบคุมยาเสพติดให้โทษ วัตถุออกฤทธิ์ต่อจิตประสาท และยาควบคุมพิเศษอื่น ๆ ที่รัดกุมและสามารถตรวจสอบได้ตลอดเวลา</t>
  </si>
  <si>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</si>
  <si>
    <t>มีเภสัชกรเป็นผู้ส่งมอบยาให้แก่ผู้มารับบริการโดยตรง</t>
  </si>
  <si>
    <t>ห้ามส่งมอบยาอันตรายให้เด็กอายุต่ำกว่า 12 ปี ในทุกกรณี</t>
  </si>
  <si>
    <t>ไม่มีคำตอบที่ต้องการ</t>
  </si>
  <si>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</si>
  <si>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พ.ร.บ. วิชาชีพเภสัชกรรม 2537</t>
  </si>
  <si>
    <t>ข้อ 118 Pharma Plus เล่มม่วง (เฉลยข้อ ง)</t>
  </si>
  <si>
    <t>บริษัทเตรียมสคลิปโฆษณายา norfloxacin เพื่อเตรียมออกอากาศทางทีวี ข้อใดกล่าวถูกต้อง เมื่ออ้างถึงพรบ. ยา 2510</t>
  </si>
  <si>
    <t>สามารถมีการร้องรำทำเพลงประกอบโฆษณา norfloxacin ชนิดเม็ดได้</t>
  </si>
  <si>
    <t>สามารถมีเภสัชกรบอกสรรพคุณของยาได้</t>
  </si>
  <si>
    <t>การโฆษณานี้ สามารถมีรายการแถม คือซื้อ norfloxacin 100 เม็ด แถมยา paracetamol 1 แผง</t>
  </si>
  <si>
    <t>ยานี้จะโฆษณาผ่านทางทีวีเพื่อแสดงสรรพคุณยาไม่ได้เลย</t>
  </si>
  <si>
    <t>นายแพทย์สาธารณสุขจังหวัดมีอำนาจสั่งเป็นหนังสือระงับการโฆษณาขายยาที่เห็นว่าเป็นการโฆษณาโดยฝ่าฝืนพระราชบัญญัตินี้ได้</t>
  </si>
  <si>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</si>
  <si>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119 Pharma Plus เล่มม่วง (เฉลยข้อ ง)</t>
  </si>
  <si>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</si>
  <si>
    <t>ยาสมุนไพร</t>
  </si>
  <si>
    <t>ยาแผนไทย</t>
  </si>
  <si>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</si>
  <si>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120 Pharma Plus เล่มม่วง (เฉลยข้อ ก)</t>
  </si>
  <si>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</si>
  <si>
    <t>Unit cost analysis</t>
  </si>
  <si>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</si>
  <si>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121 Pharma Plus เล่มม่วง (เฉลยข้อ ข)</t>
  </si>
  <si>
    <t>การพิจารณายาในโรงพยาบาล ยาใดจะไม่ถูกพิจารณาเข้าโรงพยาบาล เมื่อเปรียบเทียบกับ Utility</t>
  </si>
  <si>
    <t>ยา A เป็นเงิน 25,000 บาท Utility เท่ากับ 0.5</t>
  </si>
  <si>
    <t>ยา B เป็นเงิน 50,000 บาท Utility เท่ากับ 0.5</t>
  </si>
  <si>
    <t>ยา C เป็นเงิน 55,000 บาท Utility เท่ากับ 0.6</t>
  </si>
  <si>
    <t>ยา D เป็นเงิน 70,000 บาท Utility เท่ากับ 0.7</t>
  </si>
  <si>
    <t>ยา E เป็นเงิน 80,000 บาท Utility เท่ากับ 0.8</t>
  </si>
  <si>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</si>
  <si>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122 Pharma Plus เล่มม่วง (เฉลยข้อ จ)</t>
  </si>
  <si>
    <t>ข้อใดไม่ผิดหลักจรรยาบรรณวิชาชีพเภสัชกรรม</t>
  </si>
  <si>
    <t>ใช้มอเตอร์ไซค์รับจ้างไปส่งยาและรับเงินมา</t>
  </si>
  <si>
    <t>แนะนำให้ภรรยามาตรวจเพราะเป็นโรคติดต่อทางเพศสัมพันธ์</t>
  </si>
  <si>
    <t>เภสัชกรจ่ายยาสุนไพร ล้างลำไส้ผู้ป่วย เพราะเชื่อว่าไม่เป็นอันตราย</t>
  </si>
  <si>
    <t>เภสัชกรโทรไปบอกภรรยาผู้ป่วยโดยเภสัชกรค้นเบอร์จากที่ผู้ป่วยให้ไว้เอง เพื่อตามภรรยาผู้ป่วยมารับการรักษา</t>
  </si>
  <si>
    <t>เภสัชกรแนะนำไม่ให้ผู้ป่วยไปคลินิกอีก เพราะหมอจ่ายยาแล้วทำให้ผู้ป่วยแพ้ยา</t>
  </si>
  <si>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</si>
  <si>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123 Pharma Plus เล่มม่วง (เฉลยข้อ ข)</t>
  </si>
  <si>
    <t>ข้อใดถูกต้องตามหลักบัญชียาหลัก</t>
  </si>
  <si>
    <t>Azithromycin เป็นยาบัญชี ง. ที่มีหลาย indication แต่ที่มีเหมาะสมเพียงไม่กี่ indication</t>
  </si>
  <si>
    <t>Doxycycline เป็นยาบัญชี ข. ใช้แทน tetracycline ในกรณีโรคติดเชื้อ</t>
  </si>
  <si>
    <t>Flavoxxate เป็นยาบัญชี ค. สามสามารถใช้ได้โดยผู้เชี่ยวชาญเท่านั้น</t>
  </si>
  <si>
    <t>Norfloxacin เป็นยาบัญชี ข. ใช้แทน ofloxacin ในกรณีโรคติดเชื้อ</t>
  </si>
  <si>
    <t>Phenazopyridine เป็นยาบัญชี ก. โดยสถานบริการทุกระดับสามารถเข้าถึงได้</t>
  </si>
  <si>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</si>
  <si>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ข้อใดถูกต้องเกี่ยวกับยา benzoyl peroxide</t>
  </si>
  <si>
    <t>เป็นยาควบคุมพิเศษ</t>
  </si>
  <si>
    <t>เป็นยาแผนปัจจุบัน</t>
  </si>
  <si>
    <t>เป็นวัตถุออกฤทธิ์ต่อจิตประสาท</t>
  </si>
  <si>
    <t>เป็นวัตถุเสพติดให้โทษประเภท 3</t>
  </si>
  <si>
    <t>เป็นยาสามัญประจำบ้าน</t>
  </si>
  <si>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</si>
  <si>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125 Pharma Plus เล่มม่วง (เฉลยข้อ ไมมีคำตอบ)</t>
  </si>
  <si>
    <t>ข้อใดคۆیาผิดมาตรฐานฐาน</t>
  </si>
  <si>
    <t>ผสม cotrimazole ร่วมกับ terbenafine เพื่อลดต้นทุน</t>
  </si>
  <si>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</si>
  <si>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126 Pharma Plus เล่มม่วง (เฉลยข้อ ค)</t>
  </si>
  <si>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</si>
  <si>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127 Pharma Plus เล่มม่วง (เฉลยข้อ จ)</t>
  </si>
  <si>
    <t>จากบัญชียาหลักแห่งชาติ ยา cisplatin จัดอยู่ในบัญชี ค. มีความหมายว่าอย่างไร</t>
  </si>
  <si>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</si>
  <si>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</si>
  <si>
    <t>รายการยาที่ต้องใช้ในโรคเฉพาะทาง โดยผู้ชำนาญ หรือผู้ที่ได้รับมอบหมายจากผู้อำนวยการของสถานพยาบาล</t>
  </si>
  <si>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</si>
  <si>
    <t>รายการยาสำหรับโครงการพิเศษของรัฐ เพื่อใช้ในยามฉุกเฉิน</t>
  </si>
  <si>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</si>
  <si>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130 Pharma Plus เล่มม่วง (เฉลยข้อ ค)</t>
  </si>
  <si>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</si>
  <si>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</si>
  <si>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131 Pharma Plus เล่มม่วง (เฉลยข้อ ก)</t>
  </si>
  <si>
    <t>ข้อความต่อไปนี้ 2A 33/28 น่าจะปรากฏอยู่บนฉลากของยาใด</t>
  </si>
  <si>
    <t>Obimin AF</t>
  </si>
  <si>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</si>
  <si>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132 Pharma Plus เล่มม่วง (เฉลยข้อ จ)</t>
  </si>
  <si>
    <t>Augmentin เป็นยาประเภทใดตามกฎหมาย</t>
  </si>
  <si>
    <t>วัตถุออกฤทธิ์ต่อจิตและประสาท</t>
  </si>
  <si>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</si>
  <si>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133 Pharma Plus เล่มม่วง (เฉลยข้อ ก)</t>
  </si>
  <si>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</si>
  <si>
    <t>Accurate</t>
  </si>
  <si>
    <t>Contemporary</t>
  </si>
  <si>
    <t>Enduring</t>
  </si>
  <si>
    <t>Legible</t>
  </si>
  <si>
    <t>Original</t>
  </si>
  <si>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</si>
  <si>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Law &amp; Regulations &amp; Ethics</t>
  </si>
  <si>
    <t>Mock PLE-CC 1 ข้อ 8</t>
  </si>
  <si>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</si>
  <si>
    <t>สิทธิประกันสุขภาพแห่งชาติ</t>
  </si>
  <si>
    <t>สิทธิประกันสังคม</t>
  </si>
  <si>
    <t>สิทธิข้าราชการ</t>
  </si>
  <si>
    <t>สิทธิ 30 บาท</t>
  </si>
  <si>
    <t>สิทธิบัตรทอง</t>
  </si>
  <si>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</si>
  <si>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Mock PLE-CC 1 ข้อ 11</t>
  </si>
  <si>
    <t>ต้องแจ้งให้คำแนะนำให้แพทย์ให้ยาได้ครั้งละประมาณเท่าไหร่จึงจะได้ประสิทธิภาพใกล้เคียงเดิม</t>
  </si>
  <si>
    <t>6 ml</t>
  </si>
  <si>
    <t>9 ml</t>
  </si>
  <si>
    <t>12 ml</t>
  </si>
  <si>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</si>
  <si>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</si>
  <si>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PLE_CC1_2567_Key ข้อ 13</t>
  </si>
  <si>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</si>
  <si>
    <t>paracetamol</t>
  </si>
  <si>
    <t>ketorolac</t>
  </si>
  <si>
    <t>pethidine</t>
  </si>
  <si>
    <t>fentanyl</t>
  </si>
  <si>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</si>
  <si>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PLE_CC1_2567_Set1_Key ข้อ 15</t>
  </si>
  <si>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</si>
  <si>
    <t>พ.ร.บ. ยา พ.ศ. 2510 (การจำหน่ายยาอันตรายและยาควบคุมพิเศษ)</t>
  </si>
  <si>
    <t>พ.ร.บ. ยาเสพติดให้โทษ พ.ศ. 2522 (ยาเสพติดให้โทษประเภท 2 และ 3)</t>
  </si>
  <si>
    <t>พ.ร.บ. วัตถุที่ออกฤทธิ์ต่อจิตและประสาท พ.ศ. 2559 (ประเภท 2 และ 4)</t>
  </si>
  <si>
    <t>พ.ร.บ. วิชาชีพเภสัชกรรม พ.ศ. 2537 และข้อบังคับจรรยาบรรณวิชาชีพ</t>
  </si>
  <si>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</si>
  <si>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กฎหมายออกยาที่ไม่ต้องทำบัญชีขย11. ตัวเลือก</t>
  </si>
  <si>
    <t>พ.ร.บ. ผลิตภัณฑ์สมุนไพร พ.ศ. 2562</t>
  </si>
  <si>
    <t>พ.ร.บ. เครื่องสำอาง พ.ศ. 2558</t>
  </si>
  <si>
    <t>พ.ร.บ. หลักประกันสุขภาพแห่งชาติ พ.ศ. 2545</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</si>
  <si>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</si>
  <si>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PLE-CC1 ปี 2566 Day 2 ข้อ 24</t>
  </si>
  <si>
    <t>ขายได้เพราะร้านขายยาแผนปัจจุบันตามกฎหมายยาได้รับการยกเว้นไม่ต้องขออนุญาต</t>
  </si>
  <si>
    <t>การปฏิบัติทางเภสัชกรรมชุมชน (Good Pharmacy Practice: GPP)</t>
  </si>
  <si>
    <t>บัญชียาหลักแห่งชาติ (National List of Essential Medicines: NLEM)</t>
  </si>
  <si>
    <t>เกณฑ์จริยธรรมว่าด้วยการส่งเสริมการขายยาของกระทรวงสาธารณสุข</t>
  </si>
  <si>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</si>
  <si>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</si>
  <si>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</si>
  <si>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PLE-CC1 ปี 2566 Day 2 ข้อ 73</t>
  </si>
  <si>
    <t>ยาใดไม;ตองทำ ขย. 11 ตาม พรบ. ยา 2510 ยา$อง'ขย. 11 )างงตามประกาศ อย. เ3อง รายการยา4นตราย$อง'6ญ8การขายยา ไ:แ&lt;</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</si>
  <si>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</si>
  <si>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PLE_CC1_2565_Day1_Key ข้อ 76</t>
  </si>
  <si>
    <t>ยาใดไม;ตองทำ ขย. 11 ตาม พรบ. ยา 2510</t>
  </si>
  <si>
    <t>Diphenhydramine เดี่ยวและผสม เฉพาะยาน้ำ ิ</t>
  </si>
  <si>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</si>
  <si>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พรบ.ยา ฉบับ 6 ปh 2562 ใบสำคัญการขึ้นทะเบียนตำรับปh 2565 ขอใดถูก</t>
  </si>
  <si>
    <t>5 ปhตั้งแต;วันที่ออกใบสำคัญการขึ้นทะเบียน</t>
  </si>
  <si>
    <t>7 ปhตั้งแต;วันที่ออกใบสำคัญการขึ้นทะเบียน</t>
  </si>
  <si>
    <t>9 ปhตั้งแต;วันที่ออกใบสำคัญการขึ้นทะเบียน</t>
  </si>
  <si>
    <t>วันที่ 31 ธันวาคม ของปhที่ 5 หลังจากออกใบสำคัญการขึ้นทะเบียน</t>
  </si>
  <si>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</si>
  <si>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</si>
  <si>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PLE_CC1_2565_Day1_Key ข้อ 79</t>
  </si>
  <si>
    <t>ขอใดไม;จัดอยู;ในพรบ.สมุนไพร</t>
  </si>
  <si>
    <t>ยาแผนโบราณที่ใชกับมนุษยç</t>
  </si>
  <si>
    <t>ยาแผนโบราณที่ใชกับสัตวç</t>
  </si>
  <si>
    <t>ยาแผนจีน</t>
  </si>
  <si>
    <t xml:space="preserve"> จำ choice ไม;ได#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</si>
  <si>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</si>
  <si>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PLE_CC1_2565_Day1_Key ข้อ 81</t>
  </si>
  <si>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</si>
  <si>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</si>
  <si>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PLE_CC1_2565_Day1_Key ข้อ 83</t>
  </si>
  <si>
    <t>กฎหมาย (12 ข`อ)</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</si>
  <si>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</si>
  <si>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PLE_CC1_2565_Day1_Key ข้อ 19</t>
  </si>
  <si>
    <t>ยา C xxx/xx (NC) เปQนยาประเภทใดตามกฎหมาย SดTายาUไVเWาXยามYZบ[บ</t>
  </si>
  <si>
    <t>ยาควบคุมเฉพาะสถานพยาบาล</t>
  </si>
  <si>
    <t>ยาอันตรายแบบมีเงื่อนไข</t>
  </si>
  <si>
    <t>ยาอันตรายแบบไม-มีเงื่อนไข</t>
  </si>
  <si>
    <t xml:space="preserve"> จำ choice ไม-ได$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</si>
  <si>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</si>
  <si>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PLE_CC1_2565_Day2_Key ข้อ 69</t>
  </si>
  <si>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</si>
  <si>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</si>
  <si>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PLE_CC1_2564_All_Key ข้อ 27</t>
  </si>
  <si>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</si>
  <si>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</si>
  <si>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PLE_CC1_2564_All_Key ข้อ 32</t>
  </si>
  <si>
    <t>พบ ค. ลูกจ้างกำลังจัดยาหลายขนาน ฉลากมีเขียนแค่สรรพคุณ (แก้ปวด) ข. ผิดพรบ. ยา ยังไง</t>
  </si>
  <si>
    <t>ผิดพรบ. ยา พ.ศ. 2510</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</si>
  <si>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</si>
  <si>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PLE_CC1_2564_All_Key ข้อ 57</t>
  </si>
  <si>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</si>
  <si>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</si>
  <si>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PLE_CC1_2564_All_Key ข้อ 5</t>
  </si>
  <si>
    <t>พิจารณาประสิทธิภาพ omeprazole อย่างสั้นที่สุดที่จะพิจารณาปรับเปลี่ยนการรักษาต้องพิจารณาหลังใช้ยาเป็นเวลาเท่าไหร่ (GERD)</t>
  </si>
  <si>
    <t>1 สัปดาห์</t>
  </si>
  <si>
    <t>2 สัปดาห์</t>
  </si>
  <si>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</si>
  <si>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PLE_CC1_2564_All_Key ข้อ 107</t>
  </si>
  <si>
    <t>เภสัชกรรับให้คำปรึกษาและขายยาทางอินเทอร์เน็ต ขั้นต่ำ 1,000 บาท ผิดจรรยาบรรณข้อไหน</t>
  </si>
  <si>
    <t>ผู้ประกอบวิชาชีพย่อมดำรงตนให้สมควรในสังคมโดยธรรมและเคารพต่อกฎหมาย</t>
  </si>
  <si>
    <t>ผู้ประกอบวิชาชีพย่อมประกอบอาชีพด้วยเจตนาดี โดยไม่คำนึงถึงฐานะ เชื้อชาติ ศาสนา สังคม หรือลัทธิการเมือง</t>
  </si>
  <si>
    <t>ผู้ประกอบวิชาชีพต้องไม่ชักจูงหรือชักชวนให้มารับบริการทางวิชาชีพเภสัชกรรมเพื่อประโยชน์ตน</t>
  </si>
  <si>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</si>
  <si>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</si>
  <si>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PLE_CC1_2564_All_Key ข้อ 146</t>
  </si>
  <si>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</si>
  <si>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</si>
  <si>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</si>
  <si>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</si>
  <si>
    <t>PLE_CC1_2564_All_Key ข้อ 151</t>
  </si>
  <si>
    <t>สินค้าได้สัดอยู่ในพรบ.คุ้มครอษผู้บริโภคพ.ศ.2522</t>
  </si>
  <si>
    <t>อินอูลิน</t>
  </si>
  <si>
    <t>เข็มหีดอินอูลิน</t>
  </si>
  <si>
    <t>เครื่อษวัดความดัน ษ. เครื่อษออกกำลัษกาย ส. ผ้าอนามัย</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</si>
  <si>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</si>
  <si>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PLE_CC1_2563_Q ข้อ 1</t>
  </si>
  <si>
    <t>มีคนสนใสตำรับนี้เป็นสำนวนมาก ทาษโรษพยาบาลสึษผลิตและออกสำหน่าย ถูกหรือผิดกฎหมาย อย่าษไร</t>
  </si>
  <si>
    <t>ไม่ผิด เพราะโรษพยาบาลสามารถสำหน่ายยาที่ผลิตเอษได้</t>
  </si>
  <si>
    <t>ไม่ผิด เพราะโรษพยาบาลเป็นข้อยกเว้นที่ไม่ต้อษขอขึ้นทะเบียนตำรับ</t>
  </si>
  <si>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</si>
  <si>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</si>
  <si>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PLE_CC1_2563_Q ข้อ 3</t>
  </si>
  <si>
    <t>นาย ก ผิดกฎหมายหรือไม่ ถ้าผิด ผิดอย่าษไร</t>
  </si>
  <si>
    <t>ผิด เพราะ ขายยาควบคุมพิเศษโดยไม่ได้รับอนุญาต</t>
  </si>
  <si>
    <t>ผิด เพราะ ขายยาเสพติด</t>
  </si>
  <si>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</si>
  <si>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</si>
  <si>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PLE_CC1_2563_Q ข้อ 8</t>
  </si>
  <si>
    <t>ข้อใดเป็นการขายยาอย่าษถูกต้อษตามกฎหมาย</t>
  </si>
  <si>
    <t>CPM 100 เม็ด และ Tramadol 10 เม็ด</t>
  </si>
  <si>
    <t>CPM 30 เม็ด และ CPM syrup 60 มล. 4 ขวด</t>
  </si>
  <si>
    <t>Tramadol 20 เม็ด CPM syrup 140 มล. 2 ขวด ษ. Dextromethorphan 20 เม็ด CPM syrup 120 มล. 2 ขวด ส. Dextromethorphan syrup 120 มล 2 ขวด cpm syrup 120 มล. 2 ขวด</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</si>
  <si>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</si>
  <si>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PLE_CC1_2563_Q ข้อ 11</t>
  </si>
  <si>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</si>
  <si>
    <t>ผิด เนื่อษสากเป็นการผลิตยาโดยไม่ได้รับอนุญาต</t>
  </si>
  <si>
    <t>ผิด เนื่อษสากไม่คำนึษถึษความปลอดภัยขอษผู้ป่วย</t>
  </si>
  <si>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</si>
  <si>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</si>
  <si>
    <t>PLE_CC1_2563_Q ข้อ 12</t>
  </si>
  <si>
    <t>นางสาว ธ ขายยารายการที่ 1 ผิดกฎหมายหรือไม่ ~ emsis</t>
  </si>
  <si>
    <t>ไม่ผิด เนื่องจากได้รับอนุญาตให้ขายได้</t>
  </si>
  <si>
    <t>ไม่ผิด เนื่องจากได้รับการยกเว้นให้ไม่ต้องขออนุญาต</t>
  </si>
  <si>
    <t>ผิด เนื่องจากขายยาชุด</t>
  </si>
  <si>
    <t>ผิด เนื่องจากขายยาตำรับลับ</t>
  </si>
  <si>
    <t>ผิด เนื่องจากขายยานอกสถานที่ที่ได้รับอนุญาต</t>
  </si>
  <si>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</si>
  <si>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</si>
  <si>
    <t>ไม่ผิด เพราะเป็นไม่ต้องขออนุญาต</t>
  </si>
  <si>
    <t>ไม่ผิด เพราะมีเลขอนุญาตการโฆษณา</t>
  </si>
  <si>
    <t>ผิด เพราะ โฆษณาขายยาที่ห้ามขาย</t>
  </si>
  <si>
    <t>ผิด เพราะ โฆษณาโอ้อวดสรรพคุณเกินจริง</t>
  </si>
  <si>
    <t>ผิด เพราะ โฆษณายารักษาโรคที่ห้ามโฆษณาตามรัฐมนตรีกำหนด</t>
  </si>
  <si>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</si>
  <si>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ต่อมาพบว่าผู้ป่วยเป็น absence seizure ยาในข้อใดมีประสิทธิภาพในการรักษามากที่สุด X ~ ↑</t>
  </si>
  <si>
    <t>Pregabalin</t>
  </si>
  <si>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</si>
  <si>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ผู้ป่วยจะได้รับประสิทธิผลจากการรักษาเต็มที่เมื่อรับประทานยาต่อเนื่องนานเท่าไหร่ X ↑ ิscie-2dec</t>
  </si>
  <si>
    <t>3 วัน</t>
  </si>
  <si>
    <t>12 สัปดาห์</t>
  </si>
  <si>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</si>
  <si>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 (PLE_CC1_2562_Key.md)</t>
  </si>
  <si>
    <t>นายจ. ผิดกฎหมายไหม X ิum wed wes sin ิnicenzas ~ .8. ↳20 .Osila. sw wiv . en 2510 led realiseswa . Intwineness 2537</t>
  </si>
  <si>
    <t>ไม่ผิด เพราะขายยาสามัญประจำบ้าน</t>
  </si>
  <si>
    <t>ไม่ผิด เพราะไม่ใช่ผู้รับอนุญาต</t>
  </si>
  <si>
    <t>ผิด เพราะขายยาผิดมาตรฐาน</t>
  </si>
  <si>
    <t>ผิด เพราะขายควบคุมพิเศษ</t>
  </si>
  <si>
    <t>ผิด เพราะประกอบวิชาชีพเภสัชกรรมโดยไม่ได้รับอนุญาตวิชาชีพ</t>
  </si>
  <si>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</si>
  <si>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32 (PLE_CC1_2562_Key.md)</t>
  </si>
  <si>
    <t>นาง ม. ผิดกฎหมายไหม Wimri z8 inne dinevritwidensaCartate oma X ②Miss . Edison. Wereesinens interns</t>
  </si>
  <si>
    <t>ไม่ผิด เพราะไม่ได้เป็นคนขาย</t>
  </si>
  <si>
    <t>ผิด เพราะว่าขายยาอันตรายโดยไม่มีเภสัช</t>
  </si>
  <si>
    <t>ผิด เพราะว่าขายยาอันตรายขณะเภสัชไม่อยู่</t>
  </si>
  <si>
    <t>ผิด เพราะว่าขายยาควบคุมพิเศษโดยไม่มีใบสั่งแพทย์</t>
  </si>
  <si>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</si>
  <si>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33 (PLE_CC1_2562_Key.md)</t>
  </si>
  <si>
    <t>เภสัชกรผิดจรรยาบรรณหรือไม่ isistere s findone X Indigen mediatime dis wer . 27 2510 Wald 39</t>
  </si>
  <si>
    <t>ไม่ผิด</t>
  </si>
  <si>
    <t>ผิด เพราะว่าไม่เคารพกฎหมาย</t>
  </si>
  <si>
    <t>ผิด เรื่องความปลอดภัยของผู้ป่วย</t>
  </si>
  <si>
    <t>ผิด เพราะสนับสนุนให้ประกอบวิชาชีพผิดกฎหมาย</t>
  </si>
  <si>
    <t>ผิด ว่าทำให้เสื่อมเสียวิชาชีพ</t>
  </si>
  <si>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</si>
  <si>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38 (PLE_CC1_2562_Key.md)</t>
  </si>
  <si>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</si>
  <si>
    <t>Cost utility มุมมองผู้จ่ายเงิน</t>
  </si>
  <si>
    <t>Cost effective มุมมองผู้จ่ายเงิน</t>
  </si>
  <si>
    <t>Cost effective มุมมองสังคม</t>
  </si>
  <si>
    <t>Cost utility มุมมองผู้ป่วย</t>
  </si>
  <si>
    <t>Cost utility มุมมองสังคม</t>
  </si>
  <si>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</si>
  <si>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52 (PLE_CC1_2562_Key.md)</t>
  </si>
  <si>
    <t>จากรูปยาในโครงสร(างมีกลไกการออกฤทธิ์อย.างไร</t>
  </si>
  <si>
    <t>มีผลต.อดีเอนเอ</t>
  </si>
  <si>
    <t>มีผลต.อผนังเซลล</t>
  </si>
  <si>
    <t>มีผลต.อไมโครทูบูล</t>
  </si>
  <si>
    <t>มีผลต.อเยื่อหุ(มเซลล</t>
  </si>
  <si>
    <t>มีผลเป5นพิษต.อเซลล imidazole inanition</t>
  </si>
  <si>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</si>
  <si>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41 (PLE_CC1_2561_Key.md)</t>
  </si>
  <si>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</si>
  <si>
    <t>ใช(เครื่อง ball mill ในการเตรียมตำรับ O/W</t>
  </si>
  <si>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</si>
  <si>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43 (PLE_CC1_2561_Key.md)</t>
  </si>
  <si>
    <t>ยา naproxen มีกลไกการออกฤทธิ์อย.างไร</t>
  </si>
  <si>
    <t>ลดการสร(าง leukotriene</t>
  </si>
  <si>
    <t>ลดการสร(าง thromboxane A2</t>
  </si>
  <si>
    <t>ยับยั้งการทำงานของ prostaglandin</t>
  </si>
  <si>
    <t>ยับยั้งการทำงานของเอนไซม lipo-oxygenase</t>
  </si>
  <si>
    <t>ยับยั้งการทำงานของเอนไซม cyclo-oxyganase</t>
  </si>
  <si>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</si>
  <si>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49 (PLE_CC1_2561_Key.md)</t>
  </si>
  <si>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</si>
  <si>
    <t>เปลี่ยนเป5นยา celecoxib</t>
  </si>
  <si>
    <t>เปลี่ยนเป5นยา tramadol</t>
  </si>
  <si>
    <t>เปลี่ยนเป5นยา methotrexate</t>
  </si>
  <si>
    <t>Naproxen 250 mg + antacid</t>
  </si>
  <si>
    <t>Naproxen 500 mg + omeprazole mum</t>
  </si>
  <si>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</si>
  <si>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50 (PLE_CC1_2561_Key.md)</t>
  </si>
  <si>
    <t>อาการใดเป5นอาการรุนแรง ควรไปพบแพทยอย.างเร.งด.วนสำหรับ ผู(ปcวยรายนี้</t>
  </si>
  <si>
    <t>ปวดท(อง</t>
  </si>
  <si>
    <t>ปVสสาวะขุ.น</t>
  </si>
  <si>
    <t>มีไข( หนาวสั่น</t>
  </si>
  <si>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</si>
  <si>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78 (PLE_CC1_2561_Key.md)</t>
  </si>
  <si>
    <t>เภสัชกรควรแนะนำการใช(ยา isotretinoin แก.ผู(ปcวยอย.างไร</t>
  </si>
  <si>
    <t>กินตอนท(องว.าง</t>
  </si>
  <si>
    <t>กินห.างกันอย.างน(อยสองชั่วโมง</t>
  </si>
  <si>
    <t>ใช(ครีมกันแดด SPF อย.างน(อย 30</t>
  </si>
  <si>
    <t>อาจทำให( คอนแทคเลนสเปลี่ยนสี</t>
  </si>
  <si>
    <t>ต(องมีการตรวจค.าไตอย.างสม่ำเสมอ</t>
  </si>
  <si>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</si>
  <si>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81 (PLE_CC1_2561_Key.md)</t>
  </si>
  <si>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</si>
  <si>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</si>
  <si>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89 (PLE_CC1_2561_Key.md)</t>
  </si>
  <si>
    <t>ถ(าวิเคราะหยา A ด(วย HPLC ได( retention time ของ standard เท.ากับยา A หมายความว.าอย.างไร</t>
  </si>
  <si>
    <t>ยา A กับ standard มีปริมาณเท.ากัน</t>
  </si>
  <si>
    <t>ยากับ standard เป5นสารคนละตัวกัน</t>
  </si>
  <si>
    <t>ยา A เป5น by product ของ standard</t>
  </si>
  <si>
    <t>เวลาที่ standard กับยา A อยู.ใน column เท.ากัน</t>
  </si>
  <si>
    <t>ยา A มีความชอบพอกับ stationary phase ใน column</t>
  </si>
  <si>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</si>
  <si>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112 (PLE_CC1_2561_Key.md)</t>
  </si>
  <si>
    <t>ยา HCTZ 25 mg/tab น้ำหนักเม็ดยา 1 เม็ดเท.ากับ 100 mg ควร ทดสอบในหัวข้อ uniformity of dosage unit USP41 อย.างไร mm i I 8</t>
  </si>
  <si>
    <t>ค.ายา</t>
  </si>
  <si>
    <t>ค.าตรวจเลือด</t>
  </si>
  <si>
    <t>ค.าเครื่องมือแพทย</t>
  </si>
  <si>
    <t>ค.าความเจ็บปวด</t>
  </si>
  <si>
    <t>ค.าสูญเสียประสิทธิภาพการทำงาน</t>
  </si>
  <si>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</si>
  <si>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114 (PLE_CC1_2561_Key.md)</t>
  </si>
  <si>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</si>
  <si>
    <t>ศึกษาแบบ Case control โดยหาค.า RR</t>
  </si>
  <si>
    <t>ศึกษาแบบ Case control โดยหาค.า OR</t>
  </si>
  <si>
    <t>ศึกษาแบบ Cohort study โดยหาค.า RR</t>
  </si>
  <si>
    <t>ศึกษาแบบ Cohort study โดยหาค.า OR</t>
  </si>
  <si>
    <t>ศึกษาแบบ Cross sectional วัดผลเป5น prevalence e r e ere t</t>
  </si>
  <si>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</si>
  <si>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121 (PLE_CC1_2561_Key.md)</t>
  </si>
  <si>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</si>
  <si>
    <t>ยา A ลดอัตราการตายได้มากกว่า Enalapril ร้อยละ 80%</t>
  </si>
  <si>
    <t>ยา A ลดอัตราการตายได้มากกว่า Enalapril ร้อยละ 20%</t>
  </si>
  <si>
    <t>ยา A ลดอัตราการตายได้น้อยกว่า Enalapril ร้อยละ 80%</t>
  </si>
  <si>
    <t>ยา A ลดอัตราการตายได้น้อยกว่า Enalapril ร้อยละ 20%</t>
  </si>
  <si>
    <t>ยา A ลดอัตราการตายได้ร้อยละ 20% ของ Enalapril</t>
  </si>
  <si>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</si>
  <si>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ต้องรักษานานเท่าไหร่ จะได้ประสิทธิภาพการรักษาสูงสุด</t>
  </si>
  <si>
    <t>5 วัน</t>
  </si>
  <si>
    <t>2 wk</t>
  </si>
  <si>
    <t>4 wk</t>
  </si>
  <si>
    <t>6 wk</t>
  </si>
  <si>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</si>
  <si>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ภญ.กานดา มีความผิดตามจรรยาบรรณวิชาชีพเภสัชกรรมหรือไม่ เพราะเหตุใด</t>
  </si>
  <si>
    <t>ไม่ผิด เพราะไม่ได้กระท้าความผิดโดยตรงต่อนายชิดชัย</t>
  </si>
  <si>
    <t>ไม่ผิด เพราะใบอนุญาตขายยาให้การคุ้มกันต่อลูกจ้าง หรือตัวแทนผู้รับอนุญาต</t>
  </si>
  <si>
    <t>ผิด เพราะไม่ปิดบังตู้ยาอันตราย หรือยาควบคุมพิเศษ เหมือนเป็นการชักชวนให้ผู้ป่วยมารับ บริการ</t>
  </si>
  <si>
    <t>ผิด เพราะไม่รักษามาตรฐานการประกอบวิชาชีพเภสัชกรรม</t>
  </si>
  <si>
    <t>ผิด เพราะถือเป็นการให้ค้ารับรองที่เป็นเท็จ หรือให้ความเห็นโดยไม่สุจริตทางอ้อมว่ามีเภสัชกร</t>
  </si>
  <si>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</si>
  <si>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ผู้รับอนุญาต ท้าผิดพรบ.วิชาชีพเภสัชกรรมหรือไม่อย่างไร</t>
  </si>
  <si>
    <t>ผิด เพราะการกระท้าส่งผลต่อผู้ป่วยโดยตรง</t>
  </si>
  <si>
    <t>ผิด เพราะเป็นผู้จ่ายยาเอง</t>
  </si>
  <si>
    <t>ผิด เพราะ ไม่เป็นตามจรรณยาบรรณเภสัชชุมชน</t>
  </si>
  <si>
    <t>ไม่ผิด เพราะขนิษฐาไม่ใช่เภสัชฯ และพรบ. วิชาชีพมีไว้ส้าหรับเภสัชเท่านั น</t>
  </si>
  <si>
    <t>ไม่ผิด หากพิสูจน์ได้ว่าเภสัชยินยอม</t>
  </si>
  <si>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</si>
  <si>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เภสัชกรผิด พ.ร.บ.ยา มั ย เพราะอะไร</t>
  </si>
  <si>
    <t>ผิด เพราะไม่อยู่ปฏิบัติงานในเวลาปฏิบัติการ รวมโดย Phongsathorn Phlaisaithong Rx 9 UP 25 | P a g e</t>
  </si>
  <si>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</si>
  <si>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นางขนิษฐา มีความผิดตามพรบ.ยา ปี 2510 และฉบับแก้ไขเพิ่มเติมข้อใด</t>
  </si>
  <si>
    <t>ไม่สามารถจัดหาเภสัชกรมาปฏิบัติหน้าที่ได้ตลอดเวลาที่เปิดท้าการ</t>
  </si>
  <si>
    <t>ขายยาโดยไม่ได้รับอนุญาติ</t>
  </si>
  <si>
    <t>ไม่อยู่ปฏิบัติหน้าที่ในเวลาปฏิบัติการ</t>
  </si>
  <si>
    <t>ขายยาอันตรายและยาควบคุมพิเศษ</t>
  </si>
  <si>
    <t>ไม่ปฏิบัติตามพรบ.วิชาชีพเภสัชกรรม</t>
  </si>
  <si>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</si>
  <si>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</si>
  <si>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</si>
  <si>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13 (PLE_CC1_2560 22 April Set 2.md)</t>
  </si>
  <si>
    <t>ยาใหม่ อย. กำหนดให้ต้องติดความปลอดภัยนานเท่าใด</t>
  </si>
  <si>
    <t>24 เดือน ห้ามนำไปทำซ้ำทุกกรณี เว้นแต่จะได้รับอนุญาต กรณีศึกษา 3 Indian ink: positive AntiHIV: positive HBeAg: positive AntiHBsAg: positive Dx. Cryptococcal menigitis</t>
  </si>
  <si>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</si>
  <si>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18 (PLE_CC1_2558_Key.md)</t>
  </si>
  <si>
    <t>ผู้ป่วยสามารถเบิกจ่ายค่ารักษาพยาบาลผู้ป่วยนอกได้ ตามสิทธิใด</t>
  </si>
  <si>
    <t>Capitation</t>
  </si>
  <si>
    <t>Pay for Performance</t>
  </si>
  <si>
    <t>Diagnosis related group</t>
  </si>
  <si>
    <t>Fee for Service</t>
  </si>
  <si>
    <t>Fee schedule</t>
  </si>
  <si>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</si>
  <si>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35 (PLE_CC1_2558_Key.md)</t>
  </si>
  <si>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</si>
  <si>
    <t>Cost-effective</t>
  </si>
  <si>
    <t>Cost-benefit</t>
  </si>
  <si>
    <t>Cost-utility</t>
  </si>
  <si>
    <t>Cost-minimize</t>
  </si>
  <si>
    <t>Cost analysis ห้ามนำไปทำซ้ำทุกกรณี เว้นแต่จะได้รับอนุญาต กรณีศึกษา 10</t>
  </si>
  <si>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</si>
  <si>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76 (PLE_CC1_2558_Key.md)</t>
  </si>
  <si>
    <t>อย. ได้รับรายงานอาการไม่พึงประสงค์ คลื่นไส้ อาเจียน ตับอักเสบ จากขี้เหล็ก จัดเป็นการรายงานแบบใด</t>
  </si>
  <si>
    <t>Spontaneous report</t>
  </si>
  <si>
    <t>Intervention</t>
  </si>
  <si>
    <t>Safety program</t>
  </si>
  <si>
    <t>Intensive report</t>
  </si>
  <si>
    <t>Therapeutic monitoring ห้ามนำไปทำซ้ำทุกกรณี เว้นแต่จะได้รับอนุญาต</t>
  </si>
  <si>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</si>
  <si>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การมีสิทธิเหนือสิทธิบัตร มีประโยชน์อย่างไร</t>
  </si>
  <si>
    <t>ทำให้คนไข้เข้าถึงยาได้ง่าย</t>
  </si>
  <si>
    <t>คุ้มครองเจ้าของยาต้นแบบ</t>
  </si>
  <si>
    <t>เพื่อลดต้นทุนการผลิต</t>
  </si>
  <si>
    <t>เพื่อจำกัดการใช้ยาอย่างถูกต้อง</t>
  </si>
  <si>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</si>
  <si>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</si>
  <si>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62 (PLE_CC1_2558_Key.md)</t>
  </si>
  <si>
    <t>จากโครงสร้างของ glucocorticosteroids ที่กำหนดให้ หากต้องการเพิ่มประสิทธิภาพของ ฤทธิ์ต้านการอักเสบควรพัฒนาที่ตำแหน่งใด C B A</t>
  </si>
  <si>
    <t>A B และ C</t>
  </si>
  <si>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</si>
  <si>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63 (Pharmtutor_2024_Set1.md)</t>
  </si>
  <si>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</si>
  <si>
    <t>ผ่าน เนื่องจากผลการทดสอบผ่านเกณฑ์ทุกหัวข้อ content for injections USP39, P.532</t>
  </si>
  <si>
    <t>ไม่ผ่าน เนื่องจากผลการทดสอบในหัวข้อ assay ต่ำกว่าที่กำหนด</t>
  </si>
  <si>
    <t>ไม่ผ่าน เนื่องจากผลการทดสอบในหัวข้อ organic Impurities มากกว่าที่กำหนด</t>
  </si>
  <si>
    <t>ไม่ผ่าน เนื่องจากผลการทดสอบในหัวข้อ container content ต่ำกว่าที่กำหนด</t>
  </si>
  <si>
    <t>ไม่ผ่าน เนื่องจากผลการทดสอบในหัวข้อ particulate Matter มีจำนวน particles เกินกว่าที่กำหนด</t>
  </si>
  <si>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</si>
  <si>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96 (Pharmtutor_2024_Set1.md)</t>
  </si>
  <si>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</si>
  <si>
    <t>นายสมชาย</t>
  </si>
  <si>
    <t>นายอวบ</t>
  </si>
  <si>
    <t>เภสัชกรกล้วย</t>
  </si>
  <si>
    <t>เภสัชกรกล้วย นายสมชาย</t>
  </si>
  <si>
    <t>เภสัชกรกล้วย นายอวบ นายสมชาย</t>
  </si>
  <si>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</si>
  <si>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111 (Pharmtutor_2024_Set1.md)</t>
  </si>
  <si>
    <t>หากต้องการสืบค้นประสิทธิภาพของยาในกลุ่ม HMG-CoA reductase ว่ายาชนิดใดมีค่าครึ่งชีวิตต่ำที่สุด ควนสืบค้นจากหนังสือเล่มใด</t>
  </si>
  <si>
    <t>Drug Information Handbook</t>
  </si>
  <si>
    <t>Handbook of Pharmacotherapy</t>
  </si>
  <si>
    <t>Drug injectable and Compatibility</t>
  </si>
  <si>
    <t>Drug facts and comparisons</t>
  </si>
  <si>
    <t>Drug interaction handbook</t>
  </si>
  <si>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</si>
  <si>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118 (Pharmtutor_2024_Set1.md)</t>
  </si>
  <si>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</si>
  <si>
    <t>3% ของเงินเดือน</t>
  </si>
  <si>
    <t>4% ของเงินเดือน</t>
  </si>
  <si>
    <t>5% ของเิงนเดือน</t>
  </si>
  <si>
    <t>4% ของเงินเดือน โดยคิดที่ฐานเงินเดือนไม่เกิน 15,000 บาท</t>
  </si>
  <si>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</si>
  <si>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</si>
  <si>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120 (Pharmtutor_2024_Set1.md)</t>
  </si>
  <si>
    <t>สมุนไพรในบัญชียาหลักแห่งชาติชนิดใด สามารถนำมาช่วยบรรเทาอาการแพ้ท้องของคนไข้ตั้งครรภ์ได้อย่างมี ประสิทธิภาพ</t>
  </si>
  <si>
    <t>กระเจี๊ยบแดง</t>
  </si>
  <si>
    <t>ขลู่</t>
  </si>
  <si>
    <t>เหง้าขิงแก่</t>
  </si>
  <si>
    <t>ข่าอ่อน</t>
  </si>
  <si>
    <t>ขมิ้นขาว</t>
  </si>
  <si>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</si>
  <si>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26 (Pharmtutor_2024_Set2.md)</t>
  </si>
  <si>
    <t>หากต้องการเพิ่มประสิทธิภาพเทคนิคการวิเคราะห์ High-performance liquid chromatography ข้อใดไม่ควรปฎิบัติ</t>
  </si>
  <si>
    <t>เพิ่มความยาว column</t>
  </si>
  <si>
    <t>ลด flow rate</t>
  </si>
  <si>
    <t>ปรับอัตราส่วน mobile phase</t>
  </si>
  <si>
    <t>ปรับสภาวะเพื่อลดค่า resolution ระหว่างสารที่ต้องการวิเคราะห์และสารปนเปื้อน</t>
  </si>
  <si>
    <t>เลือก column ที่มีจำนวน theoretical plates สูงที่สุด</t>
  </si>
  <si>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</si>
  <si>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89 (Pharmtutor_2024_Set2.md)</t>
  </si>
  <si>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</si>
  <si>
    <t>การศึกษาการใช้ยา oral semaglutide เทียบกับ placebo ผลลัพธ์ของการศึกษาแตกต่างกันทางคลินิก แต่ไม่มีนัยสำคัญทางสถิติ</t>
  </si>
  <si>
    <t>การหาค่า I square แสดงถึงความแตกต่างกันของการศึกษาหากมีค่ามากแสดงว่า การศึกษาแต่ละชนิด ไม่มีความแตกต่างกัน</t>
  </si>
  <si>
    <t>หาก Q test มีค่า &lt; 0.05 แสดงถึงผลของการศึกษาไม่มีความแตกต่างกัน</t>
  </si>
  <si>
    <t>จากการศึกษาข้างต้นเมื่อเปรียบเทียบ oral semaglutide เทียบกับ placebo นำการศึกษามาทั้งหมด 5 การศึกษา เมื่อคำนวณ degree of freedom = n-2 = 3</t>
  </si>
  <si>
    <t>จากการศึกษาข้างต้น หากต้องการผลการศึกษาที่ชัดเจน ควรทำ network meta-analysis เพื่อคำนวณต่อไป</t>
  </si>
  <si>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</si>
  <si>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111 (Pharmtutor_2024_Set2.md)</t>
  </si>
  <si>
    <t>Isotretenoin ข้อใดถูกต้องตามกฎหมาย</t>
  </si>
  <si>
    <t>ขายได้ในร้านยา หากมีใบสั่งแพทย์</t>
  </si>
  <si>
    <t>ขายได้ในร้านยา โดยไม่ต้องมีใบสั่งแพทย์</t>
  </si>
  <si>
    <t>ขายไม่ได้ในร้านยา แม้มีใบสั่งแพทย์</t>
  </si>
  <si>
    <t>ขายไม่ได้ในร้านยา เนื่องจากเป็นวัตถุออกฤทธิ์ต่อจิตและประสาท</t>
  </si>
  <si>
    <t>ขายไม่ได้ในร้านยา เนื่องจากเป็นยาเสพติดให้โทษ ตะลุยโจทย์เภสัชจุฬาฯ สอบผ่าน 100%</t>
  </si>
  <si>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</si>
  <si>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 (LAW-CU-71.md)</t>
  </si>
  <si>
    <t>Budesonide inhaler จัดเป็นยาใดตามกฎหมาย</t>
  </si>
  <si>
    <t>ยาใช้เฉพาะที่ แบบควบคุมพิเศษ</t>
  </si>
  <si>
    <t>ยาเสพติดให้โทษ ประเภทที่ 3 ตะลุยโจทย์เภสัชจุฬาฯ สอบผ่าน 100%</t>
  </si>
  <si>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</si>
  <si>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ลูกจ้างหยิบยาที่ไม่ได้ขึ้นทะเบียนตำรับยาจากชั้นวางยาในร้าน เพื่อขายให้กับลูกค้า ถามว่า ใคร เป็นผู้กระทำความผิดตามกฎหมาย</t>
  </si>
  <si>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</si>
  <si>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 (LAW-CU-71.md)</t>
  </si>
  <si>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</si>
  <si>
    <t>ข้อใดต่อไปนี้เป็นยาเสื่อมคุณภาพตามกฎหมาย</t>
  </si>
  <si>
    <t>ยาหยอดตาที่มีตัวยาสำคัญมากกว่าเกณฑ์สูงสุด 12 %</t>
  </si>
  <si>
    <t>ยาหยอดตาที่มีส่วนผสมของยาอื่นปนเปื้อน 12%</t>
  </si>
  <si>
    <t>ยาหยอดตาซึ่งเขียนสถานที่ผลิตไม่ตรงกับความเป็นจริง</t>
  </si>
  <si>
    <t>ยาหยอดตาที่เปิดใช้งานมาแล้ว 2 เดือน</t>
  </si>
  <si>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</si>
  <si>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ข้อใดไม่ใช่ norfloxacin ที่จัดเป็นยาปลอมตามกฎหมาย</t>
  </si>
  <si>
    <t>มีการผสมตัวยา ciprofloxacin ด้วย</t>
  </si>
  <si>
    <t>ตรวจพบปริมาณ norfloxacin เพียง 70% เท่านั้น</t>
  </si>
  <si>
    <t>ที่ฉลากระบุว่าเป็นยา ofloxacin</t>
  </si>
  <si>
    <t>ที่ฉลากแสดงเครื่องหมายของผู้ผลิตซึ่งมิใช่ความจริง</t>
  </si>
  <si>
    <t>ลักษณะเม็ดยา norfloxacin เปลี่ยนจากสีขาว เป็น สีฟ้าอ่อน ตะลุยโจทย์เภสัชจุฬาฯ สอบผ่าน 100%</t>
  </si>
  <si>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</si>
  <si>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หากท่านต้องการขายยา glibencamide ทางอินเตอร์เนต สามารถทำได้หรือไม่ตามกฎหมาย</t>
  </si>
  <si>
    <t>ทำได้ เนื่องจากกฎหมายไม่ได้ระบุข้อห้ามไว้</t>
  </si>
  <si>
    <t>ทำได้ เนื่องจากเป็นยาแผนปัจจุบันบรรจุเสร็จฯ</t>
  </si>
  <si>
    <t>ทำไม่ได้ เนื่องจากเป็นยาอันตราย ต้องขายในสถานที่ที่ขออนุญาตไว้เท่านั้น</t>
  </si>
  <si>
    <t>ทำไม่ได้ เนื่องจากเป็นยาควบคุมพิเศษ ต้องขายในสถานที่ที่ขออนุญาตไว้เท่านั้น</t>
  </si>
  <si>
    <t>ทำไม่ได้ เนื่องจากเป็นกฎหมายระบุว่า ห้ามขายยาทุกชนิดนอกร้านขายยา ตะลุยโจทย์เภสัชจุฬาฯ สอบผ่าน 100%</t>
  </si>
  <si>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</si>
  <si>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</si>
  <si>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</si>
  <si>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ดำรงตนให้สมควรในสังคมโดยธรรมและเคารพต่อกฎหมายของบ้านเมือง</t>
  </si>
  <si>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</si>
  <si>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ปฏิบัติต่อผู้มารับบริการโดยสุภาพและปราศจากการบังคับขู่เข็ญ จรรยาบรรณ</t>
  </si>
  <si>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</si>
  <si>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 (LAW-CU-71.md)</t>
  </si>
  <si>
    <t>ไม่ใช้หรือสนับสนุนให้มีการประกอบวิชาชีพโดยผิดกฎหมาย</t>
  </si>
  <si>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</si>
  <si>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13 (LAW-CU-71.md)</t>
  </si>
  <si>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</si>
  <si>
    <t>ผู้ป่วยทุกคนมีสิทธิพื้นฐานที่จะได้รับบริการด้านสุขภาพตามที่บัญญัติไว้ในรัฐธรรมนูญ</t>
  </si>
  <si>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</si>
  <si>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</si>
  <si>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</si>
  <si>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</si>
  <si>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</si>
  <si>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</si>
  <si>
    <t>เภสัชกรต้องประกอบวิชาชีพ โดยคำนึงถึงความปลอดภัยและเศรษฐานะของผู้ป่วยหรือผู้มารับบริการ</t>
  </si>
  <si>
    <t>เภสัชกรต้องไม่ประพฤติหรือกระทำการใดๆ อันเป็นเหตุให้เสื่อมเสียเกียรติศักดิ์แห่งวิชาชีพ</t>
  </si>
  <si>
    <t>เภสัชกรต้องไม่เปิดเผยความลับของผู้มารับบริการ เว้นแต่ได้รับความยินยอมจากผู้รับบริการ</t>
  </si>
  <si>
    <t>เภสัชกรต้องไม่ใช้หรือสนับสนุนให้มีการประกอบวิชาชีพโดยผิดกฎหมาย</t>
  </si>
  <si>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</si>
  <si>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</si>
  <si>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</si>
  <si>
    <t>ข้อ 34 (PLE_CC1_2557.md)</t>
  </si>
  <si>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</si>
  <si>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</si>
  <si>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</si>
  <si>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</si>
  <si>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83 (PLE_CC1_2557.md)</t>
  </si>
  <si>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</si>
  <si>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</si>
  <si>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24 (PLE_CC1_2557.md)</t>
  </si>
  <si>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</si>
  <si>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</si>
  <si>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28 (PLE_CC1_2557.md)</t>
  </si>
  <si>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</si>
  <si>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</si>
  <si>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43 (PLE_CC1_2557.md)</t>
  </si>
  <si>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</si>
  <si>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</si>
  <si>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</si>
  <si>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52 (PLE_CC1_2557.md)</t>
  </si>
  <si>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</si>
  <si>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</si>
  <si>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54 (PLE_CC1_2557.md)</t>
  </si>
  <si>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</si>
  <si>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</si>
  <si>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71 (PLE_CC1_2557.md)</t>
  </si>
  <si>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</si>
  <si>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</si>
  <si>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90 (PLE_CC1_2557.md)</t>
  </si>
  <si>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</si>
  <si>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</si>
  <si>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94 (PLE_CC1_2557.md)</t>
  </si>
  <si>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</si>
  <si>
    <t>กระบวนการใดในการควบคุมคุณภาพที่บ่งบอกถึงประสิทธิภาพในการรักษาของ warfarin</t>
  </si>
  <si>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</si>
  <si>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 (PLE_CC1_2555 Day 1.md)</t>
  </si>
  <si>
    <t>ยา warfarin ตรวจสอบแล้วพบว่าสถานที่ที่ระบุในฉลากไม่ใช่สถานที่ผลิตจริง ถือว่าเป็นยาประเภทใด ตามกฎหมาย</t>
  </si>
  <si>
    <t>ยาเพิกถอนทะเบียนตำรับ 2 3 4 คณะเภสัชศาสตร์ มหาวิทยาลัยเชียงใหม่ Rx 44 CMU</t>
  </si>
  <si>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</si>
  <si>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 (PLE_CC1_2555 Day 1.md)</t>
  </si>
  <si>
    <t>ยาเม็ด prednisolone 5 mg จัดเป็นยาประเภทใดตามกฎหมาย</t>
  </si>
  <si>
    <t>ยาแผนปัจจุบันบรรจุเสร็จที่ไม่ใช่ยาอันตรายและยาควบคุมพิเศษ</t>
  </si>
  <si>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</si>
  <si>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</si>
  <si>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40 (PLE_CC1_2555 Day 1.md)</t>
  </si>
  <si>
    <t>ยาคุมกำเนิดแบบ triphasic จัดเป็นยาคุมกำเนิดประเภทใดตามกฎหมาย</t>
  </si>
  <si>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</si>
  <si>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78 (PLE_CC1_2555 Day 1.md)</t>
  </si>
  <si>
    <t>ถ้าตรวจสอบแล้วพบว่า สถานที่ที่ระบุในฉลากยา warfarin ไม่ใช่สถานที่ผลิตจริง จะจัดว่ายานี้เป็นยาประเภทใดตาม กฎหมาย</t>
  </si>
  <si>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</si>
  <si>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 (PLE_CC1_2555 Day 2.md)</t>
  </si>
  <si>
    <t>ประสิทธิภาพการรักษา</t>
  </si>
  <si>
    <t>Triphasic hormonal contraceptives จัดเป็นยาประเภทใดตามกฎหมาย</t>
  </si>
  <si>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</si>
  <si>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</si>
  <si>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การใช้ racemic mixture มีประสิทธิผลดีสุด</t>
  </si>
  <si>
    <t>metrothexate จัดเป็นยาประเภทใดตามกฎหมาย</t>
  </si>
  <si>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</si>
  <si>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</si>
  <si>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110 (PLE_CC1_2554 SET1.md)</t>
  </si>
  <si>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</si>
  <si>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</si>
  <si>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ควรให้ยาอะไรกับ 5-FU เพื่อเพิ่มฤทธิ์ของ 5-FU ให้มีประสิทธิภาพดีขึ้น</t>
  </si>
  <si>
    <t>Bleomycin จะยับยั้งการแบ่งเซลล์ของเซลล์มะเร็งทำให้ไม่มีการเพิ่มขึ้นของเซลล์มะเร็งและทำให้ก้อนมะเร็งลดลง</t>
  </si>
  <si>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</si>
  <si>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</si>
  <si>
    <t>ตรวจพบปริมาณ norfloxacinเพียง 70% เท่านั้น</t>
  </si>
  <si>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</si>
  <si>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</si>
  <si>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</si>
  <si>
    <t>simvastatinกับ niacin</t>
  </si>
  <si>
    <t>atorvastatinกับgemfibrozil</t>
  </si>
  <si>
    <t>niacinกับgemfibrozil</t>
  </si>
  <si>
    <t>simvastatinกับezetimibe</t>
  </si>
  <si>
    <t>simvastatinกับfenofibrate</t>
  </si>
  <si>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</si>
  <si>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alcohol 70% ขนาด 30 มิลลิลิตร จัดเป็นยาใดในกฎหมาย</t>
  </si>
  <si>
    <t>ยาสามัญประจำบ้าน ข . ยาอันตราย ค . ยาควบคุมพิเศษ</t>
  </si>
  <si>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</si>
  <si>
    <t>กล่องเสียงอักเสบ</t>
  </si>
  <si>
    <t>คอพอก</t>
  </si>
  <si>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</si>
  <si>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30 (PLE_CC1_2554 SET2.md)</t>
  </si>
  <si>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</si>
  <si>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</si>
  <si>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</si>
  <si>
    <t>Oral isotretinoid ใช้สำหรับ Severe acne เท่านั้นและห้ามใช้ในหญิงตั้งครรภ์</t>
  </si>
  <si>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</si>
  <si>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</si>
  <si>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</si>
  <si>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ยาตัวไหนที่มีประสิทธิภาพในการรักษา anxiety ประเภท obsessive-compulsive disorder (OCD)</t>
  </si>
  <si>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</si>
  <si>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</si>
  <si>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</si>
  <si>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</si>
  <si>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</si>
  <si>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</si>
  <si>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</si>
  <si>
    <t>การทดสอบประสิทธิภาพสารกันเสียในตำรับยาน้ำแขวนตะกอน ibuprofenในหัวข้อ Yeast and molds ผ่านการทดสอบ</t>
  </si>
  <si>
    <t>การทดสอบประสิทธิภาพสารกันเสียในตำรับยาน้ำแขวนตะกอน ibuprofenในหัวข้อ Yeast and molds ไม่ผ่านการทดสอบ</t>
  </si>
  <si>
    <t>ข้อ 1 และ 4 ถูก</t>
  </si>
  <si>
    <t>ข้อ 1 และ 5 ถูก</t>
  </si>
  <si>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</si>
  <si>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ข้อใดคือเลขสัมประสิทธิ์ของ Br- ของสมการรีดอกซ์ต่อไปนี้ เมื่อได้รับการดุลแล้ว MnO4- + Br- _x0000_ Mn2+ + Br2 (ในสารละลายกรด)</t>
  </si>
  <si>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</si>
  <si>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บรรดาความผิดตามพระราชบัญญัติยา พ.ศ. 2510 ที่มีโทษปรับสถานเดียว กฎหมายกำหนดให้ใครมี อำนาจเปรียบเทียบปรับได้</t>
  </si>
  <si>
    <t>ปลัดกระทรวงสาธารณสุข ข. คณะกรรมการยา</t>
  </si>
  <si>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</si>
  <si>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นายกสภาเภสัชกรรม</t>
  </si>
  <si>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</si>
  <si>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ข้อใดจัดเป็น “ยาสมุนไพร” ตาม พ.ร.บ. ยา</t>
  </si>
  <si>
    <t>เถาโคคลานหั่นตากแห้งบรรจุถุง ระบุฉลากว่า ยาโคคลาน</t>
  </si>
  <si>
    <t>ฟ้าทะลายโจรบดผงใส่แคปซูล ระบุฉลากว่า ยาฟ้าทะลายโจร</t>
  </si>
  <si>
    <t>กำลังเจ็ดช้างสารดองเหล้า ระบุชื่อว่า ยาดองเหล้า กำลังเจ็ดช้างสาร</t>
  </si>
  <si>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</si>
  <si>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</si>
  <si>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ข้อใดเป็นอำนาจ และหน้าที่ที่ถูกต้องของพนักงานเจ้าหน้าที่ ตาม พ.ร.บ. ยา พ.ศ. 2510</t>
  </si>
  <si>
    <t>เข้าไปในสถานที่ผลิตยาในระหว่างเวลาทำการ</t>
  </si>
  <si>
    <t>นำยาในปริมาณเท่าไรก็ได้ตามความต้องการ เพื่อตรวจสอบวิเคราะห์</t>
  </si>
  <si>
    <t>ไม่จำเป็นต้องประกาศผลวิเคราะห์ยาให้ประชาชนทราบ ในกรณีที่พบว่าเป็นยาไม่ปลอดภัย</t>
  </si>
  <si>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</si>
  <si>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จากข้อมูลที่ได้ น.ส. A มีความผิดตามพรบ.วิชาชีพเภสัชกรรม พ.ศ. 2537 และต้องถูกพิจารณาคดี จรรยาบรรณวิชาชีพ หรือไม่ เพราะเหตุใด</t>
  </si>
  <si>
    <t>น.ส. A เป็นเภสัชศาสตร์บัณฑิตจึงมีความผิดตาม พรบ.วิชาชีพเภสัชกรรม พ.ศ. 2537 และต้องถูก พิจารณาคดีจรรยาบรรณวิชาชีพเภสัชกรรม</t>
  </si>
  <si>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</si>
  <si>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</si>
  <si>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</si>
  <si>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</si>
  <si>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</si>
  <si>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ข้อใดไม่อยู่ในคำประกาศสิทธิของผู้ป่วย 10 ข้อ</t>
  </si>
  <si>
    <t>ผู้ป่วยสิทธิที่จะได้รับการปกปิดข้อมูลเกี่ยวกับตนเองจากผู้ประกอบวิชาชีพโดยเคร่งครัด</t>
  </si>
  <si>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</si>
  <si>
    <t>ผู้ป่วยมีสิทธิที่จะได้รับทราบชื่อ สกุล และประเภทของผู้ประกอบวิชาชีพที่เป็นผู้ให้บริการแก่ตน</t>
  </si>
  <si>
    <t>ผู้ป่วยมีสิทธิที่จะได้รับยารักษาโรคที่มีประสิทธิภาพดีที่สุด ที่ผู้ให้บริการสามารถจัดหาได้ในปัจจุบัน</t>
  </si>
  <si>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</si>
  <si>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</si>
  <si>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</si>
  <si>
    <t>Case control</t>
  </si>
  <si>
    <t>Non-inferiority trial</t>
  </si>
  <si>
    <t>Superiority trial</t>
  </si>
  <si>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</si>
  <si>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</si>
  <si>
    <t>Cross-sectional descriptive study</t>
  </si>
  <si>
    <t>Cross-sectional analytical study</t>
  </si>
  <si>
    <t>Prospective cohort study</t>
  </si>
  <si>
    <t>RCT (Crossover trial)</t>
  </si>
  <si>
    <t>RCT (Factorial design)</t>
  </si>
  <si>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</si>
  <si>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มียารักษาวัณโรคอยู่ 2 สูตร คือ สูตร A และ B จะสามารถทดสอบสัดส่วนประสิทธิภาพของสูตรยา โดยใช้สถิติใด</t>
  </si>
  <si>
    <t>Correlation</t>
  </si>
  <si>
    <t>Chi-square test</t>
  </si>
  <si>
    <t>ANOVA</t>
  </si>
  <si>
    <t>Unpaired t-test</t>
  </si>
  <si>
    <t>Paired t-test</t>
  </si>
  <si>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</si>
  <si>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</si>
  <si>
    <t>Allopurinol แบบแผง 10 เม็ด จัดเป็นยาประเภทใดตามกฎหมาย</t>
  </si>
  <si>
    <t>ยา Budesonide เป็นยาในข้อใดตามกฎหมาย</t>
  </si>
  <si>
    <t>ยาสามัญประจำบ้าน Budesonide Steriod เดี่ยว ตามกฎหมายเป็นยาอันตราย สามารถขายได้ในร้านยา</t>
  </si>
  <si>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</si>
  <si>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โฆษณาขายยานี้อินเตอร์เน็ตไม่ได้เพราะถือเป็นการกระทำที่ผิดกฎหมาย</t>
  </si>
  <si>
    <t>Glucosamine capsule 250 mg จัดเป็นยาประเภทใดตามกฎหมาย</t>
  </si>
  <si>
    <t>ยาที่ไม่ใช่ยาอันตราย</t>
  </si>
  <si>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</si>
  <si>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</si>
  <si>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Cost Efficacy = ประสิทธิภาพ Efficiency = อย่างมีประสิทธิภาพ Effectiveness = ประสิทธิผล</t>
  </si>
  <si>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</si>
  <si>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</si>
  <si>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</si>
  <si>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</si>
  <si>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</si>
  <si>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</si>
  <si>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</si>
  <si>
    <t>อาหารในข้อใดต่อไปนี้ที่เหมาะสมในผู้ป่วยรายนี้</t>
  </si>
  <si>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</si>
  <si>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ฝ่าฝืน เพราะถือเป็นการโฆษณาที่กล่าวถึงโรคที่ห้ามโฆษณาตาม พรบ. ยา</t>
  </si>
  <si>
    <t>Sodamint 1000 เม็ด จัดเป็นยาประเภทใดตามกฎหมาย</t>
  </si>
  <si>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</si>
  <si>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</si>
  <si>
    <t>หากผู้ป่วยเริ่มใช้ยาไปแล้ว 2 สัปดาห์ (สูตร IRZE) เกิดอาการผื่นแดง ลอก ทั่วร่างกาย มีไข้ ควรจะจัดการอย่างไร</t>
  </si>
  <si>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</si>
  <si>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ยาหยอดตา Sulfacetamide eye drops 10% แต่เมื่อนำไปตรวจสอบ พบว่ามีตัวยาเพียง 5% ยาดังกล่าวจัดเป็นยาใดตามกฎหมาย</t>
  </si>
  <si>
    <t>ยาไม่ได้มาตรฐาน</t>
  </si>
  <si>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</si>
  <si>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</si>
  <si>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</si>
  <si>
    <t>องค์กรใดในประเทศไทยที่ทำหน้าที่ควบคุมค่าใช้จ่ายด้านยาของผู้ใช้สิทธิบัตรทองในหลักประกันสุขภาพแห่งชา ติ</t>
  </si>
  <si>
    <t>สำนักงานประกันสังคม (สปส.)</t>
  </si>
  <si>
    <t>สำนักงานหลักประกันสุขภาพแห่งชาติ (สปสช.)</t>
  </si>
  <si>
    <t>ผู้ป่วยใช้สิทธิประกันสุขภาพถ้วนหน้า สามารถได้รับการบริการอย่างไรในการรักษาโรคเอดส์ และโรคติดเชื้อฉวยโอกาสอย่างไร</t>
  </si>
  <si>
    <t>ข้อ 52 (PLE_CC1_Key_Rx20_UBU.md)</t>
  </si>
  <si>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</si>
  <si>
    <t>ยา Pioglitazone เป็นยาประเภทใดตามกฎหมาย</t>
  </si>
  <si>
    <t>หากเภสัชกรตัดสินใจจ่ายยา Misoprostal ให้แก่ผู้หญิงที่ตั้งครรภ์ไม่พึงประสงค์จะผิดจรรยาบรรณวิชาชีพข้อใด</t>
  </si>
  <si>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</si>
  <si>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จรรยาบรรณวิชาชีพที่เกี่ยวข้องกับความปลอดภัยของผู้ป่วย</t>
  </si>
  <si>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</si>
  <si>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</si>
  <si>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</si>
  <si>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</si>
  <si>
    <t>Cost description</t>
  </si>
  <si>
    <t>Cost beneﬁt analysis</t>
  </si>
  <si>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</si>
  <si>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</si>
  <si>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</si>
  <si>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</si>
  <si>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</si>
  <si>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ไมGได$ เพราะ เพราะ พรบ.ยา หมวด 11 การโฆษณา มาตรา 88 ข$อ 6. ไมGแสดงยาอันตราย,ยาควบคุมพิเศษ</t>
  </si>
  <si>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</si>
  <si>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Isotetinoin gel กับ isotetinoin capsule จัดเปญนยาประเภทใดตามกฎหมาย</t>
  </si>
  <si>
    <t>การฉีดยาทาง IM ให$คGาชีวประสิทธิผล (Bioavailability) 100%</t>
  </si>
  <si>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</si>
  <si>
    <t>มีถามกฎหมาย เกี่ยวกับ Alprazolam P2 โจทย_ไมGสมบูรณ_</t>
  </si>
  <si>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</si>
  <si>
    <t>กระทำไมGได$ เนื่องจากเปญนการขายยานอกสถานที่</t>
  </si>
  <si>
    <t>กระทำไมGได$ เนื่องจากเปญนการขายยาโดยไมGได$รับอนุญาต</t>
  </si>
  <si>
    <t>กระทำได$ เนื่องจากเปญนการขายยาสามัญประจำบ$าน??? (ไมGแนGใจ)</t>
  </si>
  <si>
    <t>กระทำได$ เนื่องจากเปญนการขายยาสมุนไพร</t>
  </si>
  <si>
    <t>กระทำได$หากนายเอกเปญนผู$ประกอบวิชาชีพเวชกรรมแผนไทย</t>
  </si>
  <si>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</si>
  <si>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มีต$นทุน-ประสิทธิผลต่ำ</t>
  </si>
  <si>
    <t>มีต$นทุน-ประสิทธิภาพไมGดี</t>
  </si>
  <si>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</si>
  <si>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</si>
  <si>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103 (PLE_CC1_Key_Rx20_UBU.md)</t>
  </si>
  <si>
    <t>แนะนำให$ใช$ยาใหมG เนื่องจากยาใหมGมีประสิทธิภาพดีกวGาอยGางมีนัยสำคัญทางสถิติ</t>
  </si>
  <si>
    <t>แนะนำให$ใช$ยาใหมG เนื่องจากยาใหมGมีประสิทธิภาพดีกวGาอยGางไมGมีนัยสำคัญทางสถิติ</t>
  </si>
  <si>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</si>
  <si>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ไมGแนะนำให$ใช$ยาใหมG เนื่องจากยาใหมGมีประสิทธิภาพด$อยกวGายาเดิมอยGางมีนัยสำคัญทางสถิติ</t>
  </si>
  <si>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</si>
  <si>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ไมGแนะนำให$ใช$ยาใหมG เนื่องจากยาใหมGมีประสิทธิภาพดีกวGายาเดิมอยGางไมGมีนัยสำคัญทางสถิติ</t>
  </si>
  <si>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</si>
  <si>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</si>
  <si>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</si>
  <si>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</si>
  <si>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Midazolam เป็นยาประเภทใดตามกฎหมาย</t>
  </si>
  <si>
    <t>ยาเสพติดให้โทษประเภท 3</t>
  </si>
  <si>
    <t>วัตถุออกฤทธิ์ต่อจิตและประสาทประเภท 2</t>
  </si>
  <si>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</si>
  <si>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จากกรณีศึกษาทั้งหมด นายข. ซึ่งเป็นเภสัชผู้มีหน้าที่ปฏิบัติการกระทำผิดตามจรรยาบรรณทุกข้อ ยกเว้นข้อใด</t>
  </si>
  <si>
    <t>ต้องดำรงตนให้สมควรในสังคมโดยธรรมและเคารพต่อกฎหมายของบ้านเมือง</t>
  </si>
  <si>
    <t>ต้องประกอบวิชาชีพโดยคำนึงถึงความปลอดภัยและเศรษฐานะของผู้ป่วยหรือผู้มารับบริการ</t>
  </si>
  <si>
    <t>ต้องไม่ใช้หรือสนับสนุนการใช้ยาตำรับลับ</t>
  </si>
  <si>
    <t>ต้องไม่ใช้หรือสนับสนุนให้มีการประกอบวิชาชีพโดยผิดกฎหมาย</t>
  </si>
  <si>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</si>
  <si>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</si>
  <si>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Good Pharmacy Practice (GPP) ปี 2556 บังคับใช้กับที่ไหน</t>
  </si>
  <si>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</si>
  <si>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</si>
  <si>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</si>
  <si>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Midazolam เปนยาประเภทใดตามกฎหมาย</t>
  </si>
  <si>
    <t>มีความผิดฐานขายยาผิดกฎหมาย</t>
  </si>
  <si>
    <t>มีความผิดฐานไม่ควบคุมการขายยาให้เป็นไปตามพรบ</t>
  </si>
  <si>
    <t>นาย ค. ซึงเปนบิดาของผูรับอนุญาตผิด เนื่องจากไม่มีสิทธิอยู่ประจำร้าน</t>
  </si>
  <si>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</si>
  <si>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</si>
  <si>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</si>
  <si>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</si>
  <si>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</si>
  <si>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ใครผิดจรรยาบรรณบ้าง</t>
  </si>
  <si>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</si>
  <si>
    <t>Pneumonia ทำให้เกิด exacerbation ได้ ถูกต้อง ปัจจัยเสี่ยงของการเกิด COPD → การติดเชื้อในปอด , มลภาวะทางอากาศ , สูบบุหรี่</t>
  </si>
  <si>
    <t>FEV1 80% mild 50-80 moderate 30-50 Severe &lt;30% Very severe</t>
  </si>
  <si>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</si>
  <si>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</si>
  <si>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 PPI มีประสิทธิภาพเหนือกวา H2 blockers ในการรักษา GERD</t>
  </si>
  <si>
    <t>ผู้ป่วยมีสิทธิได้รับทราบชื่อ สกุล และวิชาชีพของผู้ให้การรักษาพยาบาลแก่ตน</t>
  </si>
  <si>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</si>
  <si>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</si>
  <si>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ผู้ป่วยมีสิทธิได้รับการปกปิดข้อมูลของตนเอง</t>
  </si>
  <si>
    <t>ผู้ป่วยมีสิทธิขอความเห็นจากผู้ประกอบวิชาชีพด้านสุขภาพอื่นที่มิได้เป็นผู้ให้การรักษาพยาบาลแก่ตน</t>
  </si>
  <si>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</si>
  <si>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</si>
  <si>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เปรียบเทียบประสิทธิภาพระหว่างยาจริงกับยาหลอกวัดผลโดยคะแนน 1-100 โดยมีการกระจายข้อมูลแบบ normal distribution</t>
  </si>
  <si>
    <t>เพื่อยุติการส่งเสริมการขายที่ผิดจริยธรรม</t>
  </si>
  <si>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</si>
  <si>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</si>
  <si>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</si>
  <si>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</si>
  <si>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</si>
  <si>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</si>
  <si>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</si>
  <si>
    <t>ผู้ป่วยทุกคนควรได้รับยา A เป็นตัวแรก</t>
  </si>
  <si>
    <t>ผู้ป่วยที่ไม่สามารถใช้ยา A ได้ เช่น เกิดอาการไม่พึงประสงค์ สามารถใช้ยา B แทน แต่ต้องชำระเงินเอง</t>
  </si>
  <si>
    <t>ผู้ป่วยที่ได้รับยา C ไม่จำเป็นต้องจ่ายค่ารักษาพยาบาลเองหากมีความจำเป็นต้องใช้ยา</t>
  </si>
  <si>
    <t>ยา B สั่งใช้โดยแพทย์ผู้ชำนาญหรือผู้ที่ได้รับมอบหมายจากผู้อำนวยการของสถานพยาบาลนั้นๆ</t>
  </si>
  <si>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</si>
  <si>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</si>
  <si>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</si>
  <si>
    <t>Case series</t>
  </si>
  <si>
    <t>Cross-sectional study</t>
  </si>
  <si>
    <t>Case-report</t>
  </si>
  <si>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</si>
  <si>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ต้องรักษา H.pylori infection เป็นระยะเวลานานเท่าไร จึงจะได้ประสิทธิภาพการรักษาสูงสุด</t>
  </si>
  <si>
    <t>6 สัปดาห์</t>
  </si>
  <si>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</si>
  <si>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ยาใดที่มีผลลดประสิทธิภาพของยาคุมกำเนิด</t>
  </si>
  <si>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</si>
  <si>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ผู้รับอนุญาต ทำผิดพรบ.วิชาชีพเภสัชกรรมหรือไม่อย่างไร</t>
  </si>
  <si>
    <t>ผิด เพราะ เป็นผู้จ่ายยาให้นายชิดชัยโดยตรง</t>
  </si>
  <si>
    <t>ผิด เพราะ นายชิดชัยได้รับอันตราย</t>
  </si>
  <si>
    <t>ผิด เพราะ ไม่ปฏิบัติตามข้อจำกัด และเงื่อนไขการประกอบวิชาชีพ</t>
  </si>
  <si>
    <t>ไม่ผิด เพราะไม่ใช่เภสัชกร และ พรบ. วิชาชีพบังคับใช้สำหรับผู้ประกอบวิชาชีพเภสัชกรรม เท่านั้น</t>
  </si>
  <si>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</si>
  <si>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</si>
  <si>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110 (PLE_CC1_Key_Rx20_UBU.md)</t>
  </si>
  <si>
    <t>เภสัชกรผิดตาม พ.ร.บ.ยา อย่างไรชัดเจนที่สุด</t>
  </si>
  <si>
    <t>ผิด เพราะ ไม่คำนึงถึงความปลอดภัยและเศรษฐานะของผู้รับบริการ</t>
  </si>
  <si>
    <t>ผิด เพราะ ไม่อยู่ประจำตลอดเวลาทำการ</t>
  </si>
  <si>
    <t>ผิด เพราะ ไม่รักษามาตรฐานวิชาชีพ</t>
  </si>
  <si>
    <t>ผิด เพราะ ไม่จัดให้มีตัวแทนอยู่ประจำร้าน</t>
  </si>
  <si>
    <t>ผิด เพราะ ไม่ควบคุมการแยกยาอันตรายหรือยาควบคุมพิเศษ</t>
  </si>
  <si>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</si>
  <si>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ผู้รับอนุญาตผิดตาม พ.ร.บ.ยา อย่างไร</t>
  </si>
  <si>
    <t>ผิด เพราะ ไม่จัดหาเภสัชกรมาปฏิบัติงานตามเวลา</t>
  </si>
  <si>
    <t>ผิด เพราะ จ่ายยาอันตรายและยาควบคุมพิเศษโดยที่เภสัชกรไม่อยู่</t>
  </si>
  <si>
    <t>ผิด เพราะ ไม่ควบคุมให้มีบัญชีซื้อขายยา</t>
  </si>
  <si>
    <t>ผิด เพราะ ไม่ได้รับอนุญาตขาย</t>
  </si>
  <si>
    <t>ผิด เพราะ ไม่รักษามาตรฐานเภสัชชุมชน</t>
  </si>
  <si>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</si>
  <si>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112 (PLE_CC1_Key_Rx20_UBU.md)</t>
  </si>
  <si>
    <t>หาก สสจ. ตรวจพบว่ามียาที่หมดอายุแล้วปะปนอยู่บนชั้นวางยา ยาดังกล่าวจัดเป็นยาใดตามกฎหมาย</t>
  </si>
  <si>
    <t>ยาเพิกถอนทะเบียน</t>
  </si>
  <si>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</si>
  <si>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</si>
  <si>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117 (PLE_CC1_Key_Rx20_UBU.md)</t>
  </si>
  <si>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</si>
  <si>
    <t>ไม่ผิด เพราะผู้รับอนุญาตขายยาสามารถขายยาบรรจุเสร็จที่ไม่ใช่ยาอันตรายและยาควบคุมพิเศษ</t>
  </si>
  <si>
    <t>ไม่ผิด เพราะ แชมพูคีโตโคนาโซลเป็นเครื่องสำอาง</t>
  </si>
  <si>
    <t>ผิด เพราะเป็นการขายยาผิดมาตรฐาน</t>
  </si>
  <si>
    <t>ผิด เพราะเป็นการผลิตยาโดยไม่ได้รับอนุญาต</t>
  </si>
  <si>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</si>
  <si>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</si>
  <si>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118 (PLE_CC1_Key_Rx20_UBU.md)</t>
  </si>
  <si>
    <t>ตาม GPP ฉลากบนซองบรรจุยาจะต้องแสดงข้อมูลดังกล่าว ยกเว้นข้อใด</t>
  </si>
  <si>
    <t>ชื่อผู้ป่วย</t>
  </si>
  <si>
    <t>ชื่อยาที่เป็นชื่อสามัญ หรือชื่อทางการค้า</t>
  </si>
  <si>
    <t>ข้อบ่งใช้</t>
  </si>
  <si>
    <t>คำแนะนำ</t>
  </si>
  <si>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</si>
  <si>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</si>
  <si>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120 (PLE_CC1_Key_Rx20_UBU.md)</t>
  </si>
  <si>
    <t>ภญ. ก ผิดจรรยาบรรณวิชาชีพเภสัชกรรมยกเว้นข้อใด</t>
  </si>
  <si>
    <t>ส่งเสริมการใช้ยาตำรับลับ</t>
  </si>
  <si>
    <t>ไม่ดำรงตนให้สมควรในสังคมโดยธรรมและเคารพต่อกฎหมายของบ้านเมือง</t>
  </si>
  <si>
    <t>ไม่รักษามาตรฐานของการประกอบวิชาชีพเภสัชกรรมในระดับที่ดีที่สุด</t>
  </si>
  <si>
    <t>ไม่คำนึงถึงความปลอดภัยและเศรษฐานะ ของผู้ป่วยหรือผู้มารับบริการ</t>
  </si>
  <si>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</si>
  <si>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</si>
  <si>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</si>
  <si>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</si>
  <si>
    <t>ผิดเพราะขายยานอกสถานที่</t>
  </si>
  <si>
    <t>ผิดเพราะขายยาอันตรายและควบคุมพิเศษโดยไม่มีใบสั่งแพทย์ ค .ผิด เพราะจำหน่ายยาไม่ตรงใบอนุญาต</t>
  </si>
  <si>
    <t>ไม่ผิด เพราะเภสัชกรได้ควบคุมการส่งมอบยาอันตราย</t>
  </si>
  <si>
    <t>ไม่ผิดเพราะเภสัชกรได้แนะนำวิธีดการส่งมอบยาเรียบร้อยแล้ว ข้อ 96</t>
  </si>
  <si>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</si>
  <si>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</si>
  <si>
    <t>ขายได้ เพราะเป็นยาอันตรายที่เภสัชกรมีสิทธิ์ส่งมอบในร้านยาได้</t>
  </si>
  <si>
    <t>ขายได้ หากให้คำแนะนำการใช้ยาบนฉลากยาอย่างถูกต้อง</t>
  </si>
  <si>
    <t>ขายไม่ได้ เพราะปริมาณเกินกว่าที่กฎหมายกำหนดให้มีไว้ในครอบครอง</t>
  </si>
  <si>
    <t>ขายไม่ได้ เพราะไม่ได้คำนึงถึงความปลอดภัยของผู้ใช้ยา และเป็นการใช้ยาโดยไม่มีข้อบ่งชี้ทางการแพทย์</t>
  </si>
  <si>
    <t>ขายไม่ได้ เพราะต้องมีใบสั่งยาจากแพทย์เท่านั้นจึงจะจ่ายยาอันตรายได้</t>
  </si>
  <si>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</si>
  <si>
    <t>Pharmacy Laws &amp; Ethics</t>
  </si>
  <si>
    <t>ยาใดที่ร้านขายส่งไม่สามารถขายในร้านขายยาแผนปัจจุบันได้</t>
  </si>
  <si>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</si>
  <si>
    <t>ข้อสอบจริง Product ปี 2567 ข้อ 23</t>
  </si>
  <si>
    <t>ยาข้อใดต่อไปนี้ ไม่ต้องทำ ขย.11 (ขอขึ้นทะเบียนยาชนิดที่ 11\)</t>
  </si>
  <si>
    <t>ยาเม็ด dimenhydrinate</t>
  </si>
  <si>
    <t>ยาเม็ด dextromethorphan</t>
  </si>
  <si>
    <t>ยา tramadol</t>
  </si>
  <si>
    <t>ยาน้ำ CPM (Chlorpheniramine)</t>
  </si>
  <si>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</si>
  <si>
    <t>ข้อสอบจริง Product ปี 2567 ข้อ 25</t>
  </si>
  <si>
    <t>ข้อใดต่อไปนี้ไม่จัดเป็นยาสามัญประจำบ้าน</t>
  </si>
  <si>
    <t>Paracetamol 500 mg จำนน 100 เม็ด</t>
  </si>
  <si>
    <t>ยาเน็บ glycerin 10 เม็ด</t>
  </si>
  <si>
    <t>น้ำเกลือ 500 ml</t>
  </si>
  <si>
    <t>ORS ผมน้ำ 250 ml</t>
  </si>
  <si>
    <t>ยาล้างตา 150 ml</t>
  </si>
  <si>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</si>
  <si>
    <t>ข้อสอบจริง Product ปี 2567 ข้อ 29</t>
  </si>
  <si>
    <t>"อาการของคนไข้ยังไม่หาย ไปร้านยาเพื่อขอยาแก้ไอ" สมุนไพรใดมีฤทธิ์แก้ไอ</t>
  </si>
  <si>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</si>
  <si>
    <t>ชะเอมเทศ ❌ ช่วยให้ชุ่มคอ ลดการระคายคอ มีฤทธิ์แก้ไอได้ แต่เป็นสารช่วยแต่งรสในตำรับหลายชนิด</t>
  </si>
  <si>
    <t>มะแว้ง ✅ ใช้เป็นยาสามัญประจำบ้านสำหรับแก้ไอ ขับเสมหะ</t>
  </si>
  <si>
    <t>ขิง ❌ เด่นแก้คลื่นไส้ ท้องอืด ขับลม</t>
  </si>
  <si>
    <t>ฟ้าทะลายโจร ❌ ใช้บรรเทาอาการเจ็บคอ/หวัด ไม่ใช่สมุนไพรแก้ไอโดยตรง</t>
  </si>
  <si>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</si>
  <si>
    <t>ข้อสอบจริง Product ปี 2564 ข้อ 171</t>
  </si>
  <si>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</si>
  <si>
    <t>ยาไม่ขึ้นทะเบียนตำรับยา</t>
  </si>
  <si>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</si>
  <si>
    <t>Hypertension / Pharmacy Laws &amp; Ethics</t>
  </si>
  <si>
    <t>PLE_CC1_2564_All_Key ข้อ 147</t>
  </si>
  <si>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</si>
  <si>
    <t>บัญชี จ (2)</t>
  </si>
  <si>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</si>
  <si>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</si>
  <si>
    <t>บัญชี จ (2) 23</t>
  </si>
  <si>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</si>
  <si>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ยาลดกรด aluminium hydroxide/magnesium hydroxide ขนาด 240 มิลลิลิตร เป็นยา ประเภทใด</t>
  </si>
  <si>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</si>
  <si>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</si>
  <si>
    <t>ถามว่าเป้าหมายความดันโลหิตของผู้ป่วยควรน้อยกว่าเท่าไร</t>
  </si>
  <si>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</si>
  <si>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10 (PLE_CC1_2556.md)</t>
  </si>
  <si>
    <t>ยา Metformin และ Pioglitazone จัดเป็นยาประเภทใด ก ยาแผนปัจจุบันบรรจุเสร็จที่ไม่ใช่ยาอันตรายหรือยาควบคุมพิเศษทั้งคู่</t>
  </si>
  <si>
    <t>ยาอันตรายทั้งคู่</t>
  </si>
  <si>
    <t>ยาควบคุมพิเศษทั้งคู่</t>
  </si>
  <si>
    <t>Metformin เป็นยาอันตราย Pioglitazone เป็นยาควบคุมพิเศษ</t>
  </si>
  <si>
    <t>Metformin เป็นยาควบคุมพิเศษ Pioglitazone เป็นยาอันตราย</t>
  </si>
  <si>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</si>
  <si>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Midazolam ที่ปริมาณยาเกินกว่าช่วงที่กำหนด 15% จัดเป็นยาประเภทใด</t>
  </si>
  <si>
    <t>ยายกเลิกทะเบียน</t>
  </si>
  <si>
    <t>ยาที่ไม่ได้ขึ้นทะเบียนตำรับยา</t>
  </si>
  <si>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</si>
  <si>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กรณีพบยา Midazolam ในร้านขายยา ใครถือเป็นผู้กระทำความผิด</t>
  </si>
  <si>
    <t>นาย ก.</t>
  </si>
  <si>
    <t>นาย ข.</t>
  </si>
  <si>
    <t>นาย ค.</t>
  </si>
  <si>
    <t>นาย ก. และนาย ข.</t>
  </si>
  <si>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</si>
  <si>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</si>
  <si>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</si>
  <si>
    <t>บัญชี จ (2) เรื่องที่ 10. ยาคุมฉุกเฉิน ผู้ป่วยหญิงอายุ 20 ปี มีรอบเดือนคงที่ 28 วัน มาพบเภสัชกรวันที่ 7 กุมภาพันธ์</t>
  </si>
  <si>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</si>
  <si>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81 (PLE_CC1_Key_Rx20_UBU.md)</t>
  </si>
  <si>
    <t>ถ้าผู้ป่วยใช้ยาพ่น budesonide inhaler หมด และใช้สิทธิบัตรทอง สามารถขอรับยาต่อได้หรือไม่</t>
  </si>
  <si>
    <t>ไม่ได้ เพราะต้องให้แพทย์สั่ง</t>
  </si>
  <si>
    <t>ไม่ได้ เพราะเป็นยาที่ต้องสั่งโดยแพทย์ผู้เชี่ยวชาญเฉพาะทาง</t>
  </si>
  <si>
    <t>ได้ สามารถรับที่ไหนก็ได้</t>
  </si>
  <si>
    <t>ได้ เพราะอยู่ในบัญชียาหลักแห่งชาติ</t>
  </si>
  <si>
    <t>ได้ เพราะในกรมบัญชีกลางอนุญาต</t>
  </si>
  <si>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</si>
  <si>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ระบบประกันสุขภาพ</t>
  </si>
  <si>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</si>
  <si>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</si>
  <si>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</si>
  <si>
    <t>ต้องเสียค่าใช้จ่าย แต่หากผู้ปกครองไม่นำบุตรไปรับวัคซีนตามโปรแกรมถือมีความผิดตามกฎหมาย</t>
  </si>
  <si>
    <t>ต้องเสียค่าใช้จ่าย แต่หากผู้ปกครองไม่นำบุตรไปรับวัคซีนตามโปรแกรมถือว่าไม่มีความผิดตามกฎหมาย</t>
  </si>
  <si>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</si>
  <si>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</si>
  <si>
    <t>ใช้วิธีเตือนอย่างเข้มงวดและแจ้งบทลงโทษหากไม่มารับยาตามนัด</t>
  </si>
  <si>
    <t>ให้คำแนะนำที่ตรงไปตรงมา เน้นย้ำถึงอันตรายของการเกิดเชื้อดื้อยาจนรักษาไม่หาย</t>
  </si>
  <si>
    <t>ให้คำแนะนำตามหลักการแพทย์เชิงลึกเพื่อให้ดูน่าเชื่อถือและผู้ป่วยปฏิบัติตาม</t>
  </si>
  <si>
    <t>เสริมสร้างพลังอำนาจแก่ผู้ป่วย (Empowerment) ให้มีส่วนร่วมในการวางแผน สอบถามความกังวล และจัดตารางการทานยาร่วมกัน</t>
  </si>
  <si>
    <t>ให้คำแนะนำเท่าที่จำเป็นอย่างกระชับเพื่อไม่ให้ผู้ป่วยเสียเวลาและไม่วิตกกังวล</t>
  </si>
  <si>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</si>
  <si>
    <t>Pharmacy Administration &amp; System</t>
  </si>
  <si>
    <t>Mock PLE-CC 1 ข้อ 106</t>
  </si>
  <si>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</si>
  <si>
    <t>ไม!มีเภสัชกรที่ รพ.สต.</t>
  </si>
  <si>
    <t>ไม!มีการบันทึกประวัติแพยา</t>
  </si>
  <si>
    <t>เจาหนาที่ขาดความรูความสามารถ</t>
  </si>
  <si>
    <t>ระบบการส!งต!อขอมูลผูป%วยยังไม!ดีพอ</t>
  </si>
  <si>
    <t>ระบบคอมพิวเตอรTไม!ดี ไม!มีประวัติผูป%วย</t>
  </si>
  <si>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</si>
  <si>
    <t>ข้อ 8 (PLE_CC1_2561_Key.md)</t>
  </si>
  <si>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</si>
  <si>
    <t>Precontemplation</t>
  </si>
  <si>
    <t>Contemplation</t>
  </si>
  <si>
    <t>Preparation</t>
  </si>
  <si>
    <t>Action</t>
  </si>
  <si>
    <t>Maintenance</t>
  </si>
  <si>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</si>
  <si>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53 (Pharmtutor_2024_Set2.md)</t>
  </si>
  <si>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</si>
  <si>
    <t>ต้นทุนทางตรงทางการแพทย์ Direct medical cost</t>
  </si>
  <si>
    <t>ต้นทุนทางตรงที่ไม่เกี่ยวข้องทางการแพทย์ Direct non-medical cost</t>
  </si>
  <si>
    <t>ต้นทุนทางอ้อม Indirect medical cost</t>
  </si>
  <si>
    <t>ต้นทุนค่าเสียโอกาส Opportunity medical cost</t>
  </si>
  <si>
    <t>ต้นทุนการไปทำงาน working cost</t>
  </si>
  <si>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</si>
  <si>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110 (Pharmtutor_2024_Set2.md)</t>
  </si>
  <si>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</si>
  <si>
    <t>ทุกด้านของผู้ป่วย คือ กายภาพ จิตอารมณ์ และสังคม</t>
  </si>
  <si>
    <t>ทุกรูปแบบการดูแล คือ ส่งเสริมสุขภาพ ป้องกัน รักษา และฟื้นฟูสุขภาพ</t>
  </si>
  <si>
    <t>ทุกวิธีการที่ใช้ คือ ความรู้ (cognitive) ปฏิบัติ (psychomotor) และเจตคติ (attitude)</t>
  </si>
  <si>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</si>
  <si>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</si>
  <si>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</si>
  <si>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</si>
  <si>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รูปแบบการวิจัยทางคลินิก</t>
  </si>
  <si>
    <t>ทำการศึกษา ergotamine ในรูปแบบต่างกัน 2 รูปแบบโดยเปรียบเทียบระดับสูงสุดจะใช้สถิติใดทดสอบ</t>
  </si>
  <si>
    <t>T-test unpair</t>
  </si>
  <si>
    <t>T-test pair</t>
  </si>
  <si>
    <t>F-test</t>
  </si>
  <si>
    <t>Mann-Whitney u test</t>
  </si>
  <si>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</si>
  <si>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</si>
  <si>
    <t>Case control study</t>
  </si>
  <si>
    <t>Randomized control study</t>
  </si>
  <si>
    <t>Analysis of secular trend</t>
  </si>
  <si>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</si>
  <si>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</si>
  <si>
    <t>90 บาทต่อเม็ด</t>
  </si>
  <si>
    <t>98 บาทต่อเม็ด</t>
  </si>
  <si>
    <t>100 บาทต่อเม็ด</t>
  </si>
  <si>
    <t>103 บาทต่อเม็ด</t>
  </si>
  <si>
    <t>110 บาทต่อเม็ด</t>
  </si>
  <si>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</si>
  <si>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56 Pharma Plus เล่มม่วง (เฉลยข้อ ง)</t>
  </si>
  <si>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</si>
  <si>
    <t>Meta-analysis of case control studies</t>
  </si>
  <si>
    <t>Descriptive</t>
  </si>
  <si>
    <t>Randomized control trial</t>
  </si>
  <si>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</si>
  <si>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การทดสอบอาการข้างเคียงของยา colchicine ในกลุ่มคน 3 กลุ่มที่ได้รับยาในขนาดต่างกัน ใช้สถิติในข้อใด</t>
  </si>
  <si>
    <t>T-test</t>
  </si>
  <si>
    <t>Chi-square</t>
  </si>
  <si>
    <t>One way analysis of variance</t>
  </si>
  <si>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</si>
  <si>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102 Pharma Plus เล่มม่วง (เฉลยข้อ ง)</t>
  </si>
  <si>
    <t>การทาน aspirin สามารถลดการเกิด CAD โดยมีค่า OR 0.83 หมายความว่าอย่างไร</t>
  </si>
  <si>
    <t>คนที่กิน aspirin มีโอกาสเป็น CAD น้อยกว่าคนที่ไม่กิน 17 %</t>
  </si>
  <si>
    <t>คนที่กิน aspirin มีโอกาสเป็น CAD น้อยกว่าคนที่ไม่กิน 83 %</t>
  </si>
  <si>
    <t>คนที่กิน aspirin มีโอกาสเป็น CAD มากกว่าคนที่ไม่กิน 17 %</t>
  </si>
  <si>
    <t>คนที่กิน aspirin มีโอกาสเป็น CAD มากกว่าคนที่ไม่กิน 83 %</t>
  </si>
  <si>
    <t>คนที่กิน aspirin มีโอกาสเป็น CAD เท่ากับคนที่ไม่กิน 17 %</t>
  </si>
  <si>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</si>
  <si>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103 Pharma Plus เล่มม่วง (เฉลยข้อ ก)</t>
  </si>
  <si>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</si>
  <si>
    <t>1.4</t>
  </si>
  <si>
    <t>1.6</t>
  </si>
  <si>
    <t>Cost-Minimization Analysis (CMA)</t>
  </si>
  <si>
    <t>Student t-test for comparing two independent means</t>
  </si>
  <si>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</si>
  <si>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สถิติวิเคราะห์</t>
  </si>
  <si>
    <t>ข้อ 105 Pharma Plus เล่มม่วง (เฉลยข้อ ข)</t>
  </si>
  <si>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</si>
  <si>
    <t>ยาใหม่และยา levonorgestrel มีความเสี่ยงในการเกิดอาการข้างเคียงแตกต่างกันอย่างมีนัยสำคัญทางสถิติ</t>
  </si>
  <si>
    <t>ยาใหม่มีความเสี่ยงในการเกิดอาการข้างเคียงมากกว่ามากกว่ายา levonorgestrel 1.25 เท่า</t>
  </si>
  <si>
    <t>ยา levonorgestrel มีความเสี่ยงในการเกิดอาการข้างเคียงมากกว่ายาใหม่ 1.25 เท่า</t>
  </si>
  <si>
    <t>ยาใหม่และยา levonorgestrel มีความเสี่ยงในการเกิดอาการข้างเคียงแตกต่างกันอย่างไม่มีนัยสำคัญทางสถิติ</t>
  </si>
  <si>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</si>
  <si>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106 Pharma Plus เล่มม่วง (เฉลยข้อ ก)</t>
  </si>
  <si>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</si>
  <si>
    <t>Randomized Controlled Trial (Double-blind RCT)</t>
  </si>
  <si>
    <t>Prospective Cohort Study (Relative Risk: RR)</t>
  </si>
  <si>
    <t>Case-Control Study (Odds Ratio: OR)</t>
  </si>
  <si>
    <t>Cross-Sectional Survey Prevalence Study</t>
  </si>
  <si>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</si>
  <si>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128 Pharma Plus เล่มม่วง (เฉลยข้อ ก)</t>
  </si>
  <si>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</si>
  <si>
    <t>การเกิด CA lung ในกลุ่มสูบบุหรี่ = 1 คนใน 1,000 คน</t>
  </si>
  <si>
    <t>การเกิด CA lung ในกลุ่มไม่สูบบุหรี่ = 1 คนใน 10,000 คน</t>
  </si>
  <si>
    <t>odd ratio = 11</t>
  </si>
  <si>
    <t>ผู้ป่วยที่สูบบุหรี่เป็นเวลา 30 ปี มีโอกาสเกิด CA lung 1 คน ใน 111 คน</t>
  </si>
  <si>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</si>
  <si>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129 Pharma Plus เล่มม่วง (เฉลยข้อ ง)</t>
  </si>
  <si>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</si>
  <si>
    <t>Cross sectional study</t>
  </si>
  <si>
    <t>Systematic review and meta analysis study</t>
  </si>
  <si>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</si>
  <si>
    <t>Research &amp; Biostats</t>
  </si>
  <si>
    <t>Mock PLE-CC 1 ข้อ 38</t>
  </si>
  <si>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</si>
  <si>
    <t>B ลด death risk ได้ 35% เมื่อเทียบกับ A</t>
  </si>
  <si>
    <t>HR ใกล้เคียง1หมายความว่าไม่มีความแตกต่างในข้อมูล</t>
  </si>
  <si>
    <t>Median OS ของ A แปลว่า คนไข้ที่ใช้ A มีมัธยฐานของ survival rate อยู่ที่ 28 เดือน</t>
  </si>
  <si>
    <t>A ลด death risk ได้ 65%</t>
  </si>
  <si>
    <t>Median OS ของ B มากกว่า 18 เดือนแต่ไม่มีนัยส าคัญทางสถิติ</t>
  </si>
  <si>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</si>
  <si>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Mock PLE-CC 1 ข้อ 83</t>
  </si>
  <si>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</si>
  <si>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</si>
  <si>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</si>
  <si>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PLE_CC1_2567_Key ข้อ 38</t>
  </si>
  <si>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</si>
  <si>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</si>
  <si>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PLE_CC1_2567_Key ข้อ 72</t>
  </si>
  <si>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</si>
  <si>
    <t>Chi-Square Test for Categorical Independence (p &lt; 0.05)</t>
  </si>
  <si>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</si>
  <si>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PLE_CC1_2567_Set1_Key ข้อ 38</t>
  </si>
  <si>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</si>
  <si>
    <t>Cost-Effectiveness Analysis (Incremental Cost-Effectiveness Ratio: ICER)</t>
  </si>
  <si>
    <t>Cost-Utility Analysis (Quality-Adjusted Life Years: QALY)</t>
  </si>
  <si>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</si>
  <si>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PLE_CC1_2567_Set1_Key ข้อ 71</t>
  </si>
  <si>
    <t>Cost-Benefit Analysis (Net Monetary Benefit)</t>
  </si>
  <si>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</si>
  <si>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ยาpropranolol ไม่แตกต่างจากcontrol อย่างมีมีนัยสำคัญทางสถิติในการป้องกันการเกิดไมเกรนได้ที่ระยะเวลา8 สัปดาห์</t>
  </si>
  <si>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</si>
  <si>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ยาpropranolol สามารถป้องกันการเกิดไมเกรนได้อย่างมีนัยสำคัญทางสถิติเมื่อเทียบกับcontrol</t>
  </si>
  <si>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</si>
  <si>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</si>
  <si>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</si>
  <si>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PLE_CC1_2565_Day1_Key ข้อ 69</t>
  </si>
  <si>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</si>
  <si>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</si>
  <si>
    <t>PLE_CC1_2564_All_Key ข้อ 66</t>
  </si>
  <si>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</si>
  <si>
    <t>มีการทำหลายสถานที่</t>
  </si>
  <si>
    <t>double-blinded มี</t>
  </si>
  <si>
    <t>มีการสุ่ม</t>
  </si>
  <si>
    <t>มีกลุ่มควบคุม 2 กลุ่ม</t>
  </si>
  <si>
    <t>มีกลุ่ม intervention 2 กลุ่ม</t>
  </si>
  <si>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</si>
  <si>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53 (PLE_CC1_2562_Key.md)</t>
  </si>
  <si>
    <t>หากต้องการเทียบยารักษา SLE ตัวใหม่ เทียบกับตัวเก่า จงหา ICER X 77 ยาเก่า 18.0 QALYs 11.0 cost 1,200,000 bath ยาใหม่ 20.0 QALYs 12.5 cost 1,500,000 bath</t>
  </si>
  <si>
    <t>75,000</t>
  </si>
  <si>
    <t>120,000</t>
  </si>
  <si>
    <t>150,000</t>
  </si>
  <si>
    <t>200,000</t>
  </si>
  <si>
    <t>300,000 ICER = ou X = 1, 500 , 000 - 1, 200 12 . 5 - 11 , 000 = 200, 000 bath/GALYs หË´มนาÆปทาซËาทืกกรณิ ÂวËนาต้จ²ÆดËรงบ¯นืญ´ต film</t>
  </si>
  <si>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</si>
  <si>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วิธีประเมินต้นทุนและประสิทธิผล</t>
  </si>
  <si>
    <t>ข้อ 114 (PLE_CC1_2562_Key.md)</t>
  </si>
  <si>
    <t>หลักการเก็บข้อมูลทางสถิติใด มี bias น้อยสุด</t>
  </si>
  <si>
    <t>Case report</t>
  </si>
  <si>
    <t>Cross-sectional survey</t>
  </si>
  <si>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</si>
  <si>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</si>
  <si>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</si>
  <si>
    <t>Mann-Whitney U test</t>
  </si>
  <si>
    <t>Independent t-test</t>
  </si>
  <si>
    <t>Pair t-test</t>
  </si>
  <si>
    <t>Wilcoxon</t>
  </si>
  <si>
    <t>Cox proportional hazard model</t>
  </si>
  <si>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</si>
  <si>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23 (PLE_CC1_2558_Key.md)</t>
  </si>
  <si>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</si>
  <si>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</si>
  <si>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ยาใดต่อไปนี% ไม่มีผลลดอัตราการตายสำหรับผู้ป่วย myocardial infarction (1) Simvastatin (2) Enalapril (3) Aspirin (4) Clopidogrel (5) Amlodipine</t>
  </si>
  <si>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</si>
  <si>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27 (PLE_CC1_2557.md)</t>
  </si>
  <si>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</si>
  <si>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</si>
  <si>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</si>
  <si>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</si>
  <si>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</si>
  <si>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</si>
  <si>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</si>
  <si>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</si>
  <si>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Cmax + Elimination half-life</t>
  </si>
  <si>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</si>
  <si>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</si>
  <si>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</si>
  <si>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ถ้าต้องการเปรียบเทียบระดับยาที่เวลา 5, 10, 15 และ 20 นาที ของยา FDT กับ Tablet ควรใช้สถิติข้อใดในการวิเคราะห์</t>
  </si>
  <si>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</si>
  <si>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</si>
  <si>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</si>
  <si>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</si>
  <si>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</si>
  <si>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</si>
  <si>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Prospective cohort studies</t>
  </si>
  <si>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</si>
  <si>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Nested case-control studies</t>
  </si>
  <si>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</si>
  <si>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จากข้อ 9 พบว่า odds ratio ของผู้ที่มีประวัติการมีเพศสัมพันธ์มาก่อนเทียบกับผู้ที่ไม่มีเพศสัมพันธ์มาก่อนเท่ากับ</t>
  </si>
  <si>
    <t>8 (95% CI 2.4-9.8) หมายความว่าอย่างไร โรคระบบประสาท (Parkinson) สถานการณ์</t>
  </si>
  <si>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</si>
  <si>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ระเบียบวิจัยและสถิติ 384 390</t>
  </si>
  <si>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</si>
  <si>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ข้อใดบ่งบอกว่าผู้ป่วยรายนี้เป็น Myocardial Infarction</t>
  </si>
  <si>
    <t>อาการเจ็บร้าวไปที่แขน ไหล่ หลัง</t>
  </si>
  <si>
    <t>ตรวจพบ Cardiac enzymes ในกระแสเลือด</t>
  </si>
  <si>
    <t>มีค่า Ejection fraction ลดลง</t>
  </si>
  <si>
    <t>มีอาการเจ็บเค้นหน้าอกเฉียบพลันขณะพัก</t>
  </si>
  <si>
    <t>มีอาการเจ็บเค้นหน้าอกมากกว่า 5 นาที</t>
  </si>
  <si>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</si>
  <si>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</si>
  <si>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</si>
  <si>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ระเบียบวิจัยและสถิติ โดย ฝ่ายวิชาการและนักศึกษาชั้นป๊ที่ 4 คณะเภสัชศาสตร์ มหาวิทยาลัยเชียงใหม่ ป๊การศึกษา 2560</t>
  </si>
  <si>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</si>
  <si>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</si>
  <si>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</si>
  <si>
    <t>Retrospective cohort study</t>
  </si>
  <si>
    <t>Prospective case control</t>
  </si>
  <si>
    <t>Randomized controlled trial</t>
  </si>
  <si>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</si>
  <si>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</si>
  <si>
    <t>Meta-analysis , RCT</t>
  </si>
  <si>
    <t>Meta-analysis , Case control</t>
  </si>
  <si>
    <t>RCT , Cohort</t>
  </si>
  <si>
    <t>Cohort , Case control</t>
  </si>
  <si>
    <t>Cohort , Case series</t>
  </si>
  <si>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</si>
  <si>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.ถ้าอยากหาความสัมพันธ์ระหว่างไมเกรนกับปัจจัยความเครียด ควรเลือกใช้สถิติใด</t>
  </si>
  <si>
    <t>Chi square test</t>
  </si>
  <si>
    <t>Regression</t>
  </si>
  <si>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</si>
  <si>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</si>
  <si>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</si>
  <si>
    <t>Analysis of variance</t>
  </si>
  <si>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</si>
  <si>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</si>
  <si>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</si>
  <si>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</si>
  <si>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</si>
  <si>
    <t>One-way ANOVA</t>
  </si>
  <si>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</si>
  <si>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</si>
  <si>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</si>
  <si>
    <t>Two-way ANOVA</t>
  </si>
  <si>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</si>
  <si>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</si>
  <si>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</si>
  <si>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</si>
  <si>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</si>
  <si>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</si>
  <si>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การทดสอบอาการข้างเคียงหลัก 2 อาการของยา Rizatriptan ในกลุ่มทดลอง 3 กลุ่มว่าต่างกันหรือไม่ ควรใช้สถิติใดในการวิเคราะห์</t>
  </si>
  <si>
    <t>One way ANOVA</t>
  </si>
  <si>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</si>
  <si>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</si>
  <si>
    <t>Peak plasma drug concentration (Cmax)</t>
  </si>
  <si>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</si>
  <si>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</si>
  <si>
    <t>สำนักงานวิจัยระบบสาธารณสุข (สวรส.)</t>
  </si>
  <si>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</si>
  <si>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</si>
  <si>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ยาใดตGอไปนี้ ไมGมีผลลดอัตราการตายสำหรับผู$ป&amp;วย myocardial infarction</t>
  </si>
  <si>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</si>
  <si>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</si>
  <si>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27 (PLE_CC1_Key_Rx20_UBU.md)</t>
  </si>
  <si>
    <t>ยาในข$อใดสามารถใช$เปญนยาปนองกัน (primary prophylaxis) สำหรับภาวะ variceal bleeding (1) Octreotide (2) Pantoprazole (3) Somatostatin (4) Propranolol (5) Lactulose</t>
  </si>
  <si>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</si>
  <si>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</si>
  <si>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(โจทย_ถามรูปแบบการทดลองที่ให$ข$อมูลที่นGาเชื่อถือที่สุด) RCT</t>
  </si>
  <si>
    <t>ข้อ 39 (PLE_CC1_Key_Rx20_UBU.md)</t>
  </si>
  <si>
    <t>(โจทย_ให$แปลความหมายของ relative risk ให$คGา 0.88 95% CI ไมGครGอม 1) สถานการณ) 5</t>
  </si>
  <si>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</si>
  <si>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มีคGา ICER สูง cost/unit of efficacy ใช$เงินน$อยๆ เพื่อให$ได$ outcome ที่ต$องการ</t>
  </si>
  <si>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</si>
  <si>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จากสถิติพบวGาในป3 2556 มีผู$ป&amp;วยด$วยภาวะ..........22885 รายตGอประชากรหนึ่งแสนคน จำนวนดังกลGาวเรียกวGาอะไร</t>
  </si>
  <si>
    <t>ข้อ 105 (PLE_CC1_Key_Rx20_UBU.md)</t>
  </si>
  <si>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</si>
  <si>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</si>
  <si>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</si>
  <si>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</si>
  <si>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Prospective Cohort study</t>
  </si>
  <si>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</si>
  <si>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</si>
  <si>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โรงพยาบาลพิจารณาเลือกยา โดยดูความคุ้มค่าของยาพ่น A และ ยาพ่น B ข้อใดถูกต้อง (Threshold ของ โรงพยาบาล = 160,000/QALYs)</t>
  </si>
  <si>
    <t>ยา A คุ้มค่ามากกว่า เนื่องจากมีปีสุขภาวะมากกว่า</t>
  </si>
  <si>
    <t>ยา A คุ้มค่ามากกว่ายา B เนื่องจากมีค่า ICER ติดลบ 8,000/QALYs</t>
  </si>
  <si>
    <t>ยา B คุ้มค่ามากกว่ายา A เนื่องจากต้นทุนถูกกว่า</t>
  </si>
  <si>
    <t>ยา B คุ้มค่ามากกว่ายา A เนื่องจากมีค่า ICER บวก 8,000/QALYs</t>
  </si>
  <si>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</si>
  <si>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</si>
  <si>
    <t>ข้อ 63 (PLE_CC1_Key_Rx20_UBU.md)</t>
  </si>
  <si>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</si>
  <si>
    <t>Indirect cost (ต้นทุนทางอ้อม)</t>
  </si>
  <si>
    <t>Intangible cost (ต้นทุนที่ไม่สามารถวัดเป็นตัวเงินได้)</t>
  </si>
  <si>
    <t>Direct medical cost (ต้นทุนทางตรงทางการแพทย์)</t>
  </si>
  <si>
    <t>Direct non-medical cost (ต้นทุนทางตรงที่ไม่ใช่ทางการแพทย์)</t>
  </si>
  <si>
    <t>Opportunity cost (ต้นทุนค่าเสียโอกาสเชิงนโยบาย)</t>
  </si>
  <si>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</si>
  <si>
    <t>PLE_CC1_2567_Key ข้อ 10</t>
  </si>
  <si>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</si>
  <si>
    <t>การใช้ยา Lamivudine มีประสิทธิภาพป้องกันการเกิดภาวะตับอักเสบได้มากกว่า Tenofovir/Lamivudine</t>
  </si>
  <si>
    <t>ผลการศึกษาดังกล่าวแสดงถึง significance level ที่ 0.05 เนื่องจากค่า 95%CI ไม่คร่อม 1</t>
  </si>
  <si>
    <t>ควรทำการศึกษาเพิ่มเติม เนื่องจากผลของการศึกษา RR เข้าใกล้ 0.5</t>
  </si>
  <si>
    <t>จำนวนอาสาสมัครที่เข้าร่วมการศึกษามีจำนวนมากจนเกินไป ผลอาจทำให้คลาดเคลื่อนได้</t>
  </si>
  <si>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</si>
  <si>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ข้อ 116 (Pharmtutor_2024_Set1.md)</t>
  </si>
  <si>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</si>
  <si>
    <t>4 9.5</t>
  </si>
  <si>
    <t>9 Cough</t>
  </si>
  <si>
    <t>0 ควรใช้สถิติใดสำหรับการวิเคราะห์ดังกล่าว</t>
  </si>
  <si>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</si>
  <si>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Username</t>
  </si>
  <si>
    <t>Display Name</t>
  </si>
  <si>
    <t>Total Answered</t>
  </si>
  <si>
    <t>Total Correct</t>
  </si>
  <si>
    <t>Accuracy (%)</t>
  </si>
  <si>
    <t>Current Streak (Days)</t>
  </si>
  <si>
    <t>Last Active</t>
  </si>
  <si>
    <t>maxnum</t>
  </si>
  <si>
    <t>Maxnum</t>
  </si>
  <si>
    <t>2026-09-24T14:17:16.289Z</t>
  </si>
  <si>
    <t>chayanit</t>
  </si>
  <si>
    <t>2026-09-24T13:36:51.013Z</t>
  </si>
  <si>
    <t>supichaya</t>
  </si>
  <si>
    <t>bt</t>
  </si>
  <si>
    <t>2026-09-24T13:18:00.422Z</t>
  </si>
  <si>
    <t>JN</t>
  </si>
  <si>
    <t>2026-09-24T13:18:27.158Z</t>
  </si>
  <si>
    <t>j.natthida</t>
  </si>
  <si>
    <t>jn.</t>
  </si>
  <si>
    <t>2026-09-24T13:20:39.625Z</t>
  </si>
  <si>
    <t>2026-09-24T13:27:04.553Z</t>
  </si>
  <si>
    <t>MessageId</t>
  </si>
  <si>
    <t>Message Text</t>
  </si>
  <si>
    <t>ReplyToId</t>
  </si>
  <si>
    <t>Topic Tag</t>
  </si>
  <si>
    <t>msg_1790163390739</t>
  </si>
  <si>
    <t>2026-09-23T11:36:30.739Z</t>
  </si>
  <si>
    <t>สวัสดีงับชาวบ้านทดสอบระบบ</t>
  </si>
  <si>
    <t>msg_1790167308559</t>
  </si>
  <si>
    <t>2026-09-23T12:41:48.559Z</t>
  </si>
  <si>
    <t>ยัยบ๊องตื้น</t>
  </si>
  <si>
    <t>msg_1790255957466</t>
  </si>
  <si>
    <t>2026-09-24T13:19:17.466Z</t>
  </si>
  <si>
    <t>anonymous</t>
  </si>
  <si>
    <t>☆*: .｡. o(≧▽≦)o .｡.:*☆</t>
  </si>
  <si>
    <t>msg_1790256395477</t>
  </si>
  <si>
    <t>2026-09-24T13:26:35.477Z</t>
  </si>
  <si>
    <t>ข้อไหนเอ๋อมันน้องเอไอกำลังทยอยแก้อยู่นะงับ กด  Report บอกน้องเอไอมันจะตามแก้ให้เอง</t>
  </si>
  <si>
    <t>msg_1790256597256</t>
  </si>
  <si>
    <t>2026-09-24T13:29:57.256Z</t>
  </si>
  <si>
    <t>กด Filter เล่มม่วง Pharma Plus นะครับส่วนใหญ่มันถูก</t>
  </si>
  <si>
    <t>🏠 กลับสู่หน้าแรก (Go to Home Page)</t>
  </si>
  <si>
    <t>Timestamp (วัน-เวลา)</t>
  </si>
  <si>
    <t>User (ผู้แจ้ง)</t>
  </si>
  <si>
    <t>Category (หมวดหมู่วิชา)</t>
  </si>
  <si>
    <t>Question ID / Ref</t>
  </si>
  <si>
    <t>โจทย์คำถาม (ย่อ)</t>
  </si>
  <si>
    <t>ประเภทปัญหาที่พบ</t>
  </si>
  <si>
    <t>รายละเอียดข้อผิดพลาดที่แจ้ง</t>
  </si>
  <si>
    <t>สถานะการแก้ไข (Status)</t>
  </si>
  <si>
    <t>2026-09-24T13:24:45.393Z</t>
  </si>
  <si>
    <t>4. Endocrine::164</t>
  </si>
  <si>
    <t>โจทย์กำกวม / พิมพ์ตกหล่น</t>
  </si>
  <si>
    <t>โจทย์พิมตกหล่น</t>
  </si>
  <si>
    <t>Resolved (แก้ไขเรียบร้อยแล้ว)</t>
  </si>
  <si>
    <t>2026-09-24T13:25:06.755Z</t>
  </si>
  <si>
    <t>16. Others &amp; Toxic::1752</t>
  </si>
  <si>
    <t>ไม่มีโจทย์</t>
  </si>
  <si>
    <t>2026-09-24T13:33:03.933Z</t>
  </si>
  <si>
    <t>1. Titrations::46</t>
  </si>
  <si>
    <t>การวิเคราะห_ FeSO4 ด$วยสารละลาย potassium permanganate (KMnO4) ใช$วิธีวิเคราะห_ใด (1) Acid-base titration (2) Non-aqueous acid-base titration (3) Oxid</t>
  </si>
  <si>
    <t>พิมพ์โจทย์ผิด เฉลยแปลกๆ</t>
  </si>
  <si>
    <t>2026-09-24T13:35:29.057Z</t>
  </si>
  <si>
    <t>18. Clinical Nutrition::23</t>
  </si>
  <si>
    <t>รูปแบบของวิตามินดี ที_x001E_พร้อมออกฤทธิAคือข้อใด (1) 1,25-dihydroxycholecalciferol (2) 1-hydroxycholecalciferol (3) 25-hydroxycholecalciferol (4) Cholecalc</t>
  </si>
  <si>
    <t>แปกๆ</t>
  </si>
  <si>
    <t>2026-09-24T13:35:53.592Z</t>
  </si>
  <si>
    <t>18. Clinical Nutrition::24</t>
  </si>
  <si>
    <t>การจ่ายยาชุดวิตามินรวม ให้เจ้าของสุนัขโดยผู้ช่วยสัตวแพทย์</t>
  </si>
  <si>
    <t>มะเข้าใจ</t>
  </si>
  <si>
    <t>2026-09-24T13:36:40.555Z</t>
  </si>
  <si>
    <t>18. Clinical Nutrition::25</t>
  </si>
  <si>
    <t>วิตามินใดที่ใช$ในการปนองกันอาการชาของผู$ป&amp;วย</t>
  </si>
  <si>
    <t>พิมพ์ผิด</t>
  </si>
  <si>
    <t>2026-09-24T13:41:24.660Z</t>
  </si>
  <si>
    <t>2. Cardiovascular::3</t>
  </si>
  <si>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</si>
  <si>
    <t>เฉลยไม่ถูกต้อง / ขัดแย้งกับ Guideline</t>
  </si>
  <si>
    <t>เฉลยควรบอกเกณฑ์ BP มาเลย</t>
  </si>
  <si>
    <t>2026-09-24T13:42:18.204Z</t>
  </si>
  <si>
    <t>11. Herbal Products::3</t>
  </si>
  <si>
    <t>แบบทดสอบความรู้ทางเภสัชกรรม ข้อที่ 1</t>
  </si>
  <si>
    <t>อื่นๆ</t>
  </si>
  <si>
    <t>2026-09-24T13:43:06.372Z</t>
  </si>
  <si>
    <t>3. Dermatologic::167</t>
  </si>
  <si>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</si>
  <si>
    <t>โจทย์เป็น allergy</t>
  </si>
  <si>
    <t>2026-09-24T13:43:19.108Z</t>
  </si>
  <si>
    <t>2. Cardiovascular::4</t>
  </si>
  <si>
    <t>เฉลยควรบอกว่ามันควรงดกินอะไร HtN</t>
  </si>
  <si>
    <t>2026-09-24T13:44:39.585Z</t>
  </si>
  <si>
    <t>16. Others &amp; Toxic::1692</t>
  </si>
  <si>
    <t>ยาต้านอักเสบตัวใดที่ไม่ควรใช้ในโรคเกาต์</t>
  </si>
  <si>
    <t>choice มีเฉลย แต่ไม่ตรงกับชื่อยา</t>
  </si>
  <si>
    <t>2026-09-24T13:44:51.287Z</t>
  </si>
  <si>
    <t>16. Others &amp; Toxic::90</t>
  </si>
  <si>
    <t>ให้ข้อมูลมาคำนวณ%assay ตัวเลือก</t>
  </si>
  <si>
    <t>โจทย์ไมาตรว</t>
  </si>
  <si>
    <t>2026-09-24T13:45:09.913Z</t>
  </si>
  <si>
    <t>โจทย์ตัวเลือดไม่ตรงกัน</t>
  </si>
  <si>
    <t>2026-09-24T13:47:03.540Z</t>
  </si>
  <si>
    <t>2. Cardiovascular::343</t>
  </si>
  <si>
    <t>Amitriptyline ใช้ได้ แต่เนื่องจากยามีหลาย mechanism จึงทำให้เกิดอาการไม่พึงประสงค์มาก จึงไม่เหมาะสม</t>
  </si>
  <si>
    <t>ไม่ระบุคำถาม</t>
  </si>
  <si>
    <t>2026-09-24T14:03:13.737Z</t>
  </si>
  <si>
    <t>13. Medicinal Chemistry</t>
  </si>
  <si>
    <t>13. Medicinal Chemistry::45</t>
  </si>
  <si>
    <t>ความเข$มข$น adrenaline 0.01% คืออะไร</t>
  </si>
  <si>
    <t>ผิดไปหมดเลย555555</t>
  </si>
  <si>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</si>
  <si>
    <t>Conjugated linoleic acid</t>
  </si>
  <si>
    <t>Hydroxyl citric acid</t>
  </si>
  <si>
    <t>Catechin</t>
  </si>
  <si>
    <t>LAL</t>
  </si>
  <si>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</si>
  <si>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Clinical Nutrition</t>
  </si>
  <si>
    <t>ข้อ 1 Pharma Plus เล่มม่วง (เฉลยข้อ ก ข ง)</t>
  </si>
  <si>
    <t>ผลิตภัณฑ์เสริมอาหารในข้อใดมีคุณสมบัติคล้าย dietary fiber</t>
  </si>
  <si>
    <t>Evening primrose oil</t>
  </si>
  <si>
    <t>Collagen</t>
  </si>
  <si>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</si>
  <si>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มีผลโดยเสริมฤทธิ์ยับยั้งการแข็งตัวของเกล็ดเลือดของ aspirin</t>
  </si>
  <si>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</si>
  <si>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ระหว่างที่มีอาการปวดประจำเดือน ผู้ป่วยควรหลีกเลี่ยงอาหารที่มีส่วนประกอบใด</t>
  </si>
  <si>
    <t>ชาเขียว</t>
  </si>
  <si>
    <t>ลูกเตอ</t>
  </si>
  <si>
    <t>กวาวเครือ</t>
  </si>
  <si>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</si>
  <si>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</si>
  <si>
    <t>ภาวะไขมันผิดปกติในเลือด</t>
  </si>
  <si>
    <t>โรคหลอดเลือดแดงเลี้ยงหัวใจตีบตัน</t>
  </si>
  <si>
    <t>กระดูกและข้อเสื่อมใน lower extremities</t>
  </si>
  <si>
    <t>โรคอัลไซเมอร์</t>
  </si>
  <si>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</si>
  <si>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ข้อ 5 Pharma Plus เล่มม่วง (เฉลยข้อ จ)</t>
  </si>
  <si>
    <t>แพทย์สั่งใช้ยา Orlistat® สำหรับผู้ป่วยรายนี้ อยากทราบว่ายานี้ออกฤทธิ์อย่างไร</t>
  </si>
  <si>
    <t>ดักจับไขมันในทางเดินอาหาร</t>
  </si>
  <si>
    <t>ออกฤทธิ์กดความอยากอาหาร</t>
  </si>
  <si>
    <t>เพิ่มการเมตาบอลิซึมไขมันในเซลล์</t>
  </si>
  <si>
    <t>ยับยั้งเอนไซม์ย่อยไขมันในทางเดินอาหาร</t>
  </si>
  <si>
    <t>ยับยั้งเอนไซม์ HMG CoA reductase</t>
  </si>
  <si>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</si>
  <si>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ผู้ป่วยควรรับประทานอาหารในข้อใด</t>
  </si>
  <si>
    <t>ส้มตำเขียวหวาน คอมหมูย่าง ข้าวเหนียว</t>
  </si>
  <si>
    <t>ชมพู่ ปลาเผา แกงหน่อไม้</t>
  </si>
  <si>
    <t>มะม่วงสุก ผัดกระเฉดหมูกรอบ ข้าวต้ม</t>
  </si>
  <si>
    <t>ทุเรียน แกงเลียง ข้าวสวย</t>
  </si>
  <si>
    <t>กล้วยหอม ไอศกรีม ไก่ทอด</t>
  </si>
  <si>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</si>
  <si>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เมื่อคำนวณค่า body mass index (BMI) ของหญิงผู้้นี้พบว่ามีค่า 30 kg/m² หมายความว่าอย่างไร</t>
  </si>
  <si>
    <t>น้ำหนักน้อยกว่าปกติ</t>
  </si>
  <si>
    <t>น้ำหนักตัวเหมาะสม</t>
  </si>
  <si>
    <t>น้ำหนักเกินแต่ไม่มาก</t>
  </si>
  <si>
    <t>มีภาวะอ้วน</t>
  </si>
  <si>
    <t>มีภาวะอ้วนรุนแรง</t>
  </si>
  <si>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</si>
  <si>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สาเหตุของผมร่วง เล็บเปราะ เนื่องจากขาดวิตามินและแร่ธาตุ ยกเว้น</t>
  </si>
  <si>
    <t>Biotin</t>
  </si>
  <si>
    <t>Zinc</t>
  </si>
  <si>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</si>
  <si>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วิตามิน แร่ธาตุที่เพิ่มความสดใสให้ผิวพรรณยกเว้น</t>
  </si>
  <si>
    <t>Magnesium</t>
  </si>
  <si>
    <t>EPO (evening primrose oil)</t>
  </si>
  <si>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</si>
  <si>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วิตามิน แร่ธาตุชนิดใดที่เหมาะสมกับการออกกำลังกายมากที่สุด</t>
  </si>
  <si>
    <t>Vitamin K, Calcium, Vanadium</t>
  </si>
  <si>
    <t>Vitamin D, Calcium, Nickel</t>
  </si>
  <si>
    <t>Calcium, Magnesium, Potassium</t>
  </si>
  <si>
    <t>Iodine, Copper, Selenium</t>
  </si>
  <si>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</si>
  <si>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 11 Pharma Plus เล่มม่วง (เฉลยข้อ ค ง)</t>
  </si>
  <si>
    <t>จากข้อที่ 11 หมวดต่ออาหารใดที่พบแร่ธาตุ วิตามินเหล่านั้นมากที่สุด</t>
  </si>
  <si>
    <t>เนื้อสัตว์, อาหารทะเล, เครื่องใน</t>
  </si>
  <si>
    <t>ปลาตัวเล็กตัวน้อย, ผักบร็อคโคลี่, กล้วย</t>
  </si>
  <si>
    <t>ธัญพืช, ถั่วเหลือง, โยเกิร์ต</t>
  </si>
  <si>
    <t>ชาเขียว, โสม, Co-enzyme Q10</t>
  </si>
  <si>
    <t>น้ำมันตับปลา, น้ำมันปลา, ปลา</t>
  </si>
  <si>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</si>
  <si>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ข้อใด ไม่ใช่ข้อควรปฏิบัติในการรับประทานวิตามิน อาหารเสริม</t>
  </si>
  <si>
    <t>ออกกำลังกายอย่างต่อเนื่อง อย่างน้อย 30 นาทีทุกวัน</t>
  </si>
  <si>
    <t>ดื่มน้ำบริสุทธิ์ ปริมาณ 2 ลิตร ต่อวัน</t>
  </si>
  <si>
    <t>ควรรับประทานหลังมื้ออาหารหรือพร้อมมื้ออาหาร</t>
  </si>
  <si>
    <t>การรับประทานช่วงเวลาก่อนนอนเหมาะสำหรับวิตามินและแร่ธาตุที่บำรุงผิว</t>
  </si>
  <si>
    <t>ควรรับประทานผักใบเขียว, ผลไม้ควบคู่ทุกวัน</t>
  </si>
  <si>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</si>
  <si>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ผู้ป่วยอายุ 2 ขวบ หนัก 10 kg สูง 90 cm กินแต่มาม่า
ผู้ป่วยมี actual BW เป็นกี่เปอร์เซ็นต์ ของ IDW (IDW=(Ht²(cm²)x1.65)/1000)</t>
  </si>
  <si>
    <t>65%</t>
  </si>
  <si>
    <t>70%</t>
  </si>
  <si>
    <t>135%</t>
  </si>
  <si>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</si>
  <si>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ผู้ป่วยอายุ 2 ขวบ หนัก 10 kg สูง 90 cm กินแต่มาม่า
ผู้ป่วยรายนี้ไม่ต้องอาศัยข้อมูลใด ในการประเมินความเจริญเติบโต (growth velocity)</t>
  </si>
  <si>
    <t>บันทึกน้ำหนัก รายเดือน</t>
  </si>
  <si>
    <t>บันทึกส่วนสูงรายเดือน</t>
  </si>
  <si>
    <t>ค่ามาตรฐานการเจริญเติบโต</t>
  </si>
  <si>
    <t>ความต้องการพลังงานต่อวัน</t>
  </si>
  <si>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</si>
  <si>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บุคคลที่รับประทานอาหารมังสวิรัติมีโอกาสขาดเหล็กได้เนื่องจาก</t>
  </si>
  <si>
    <t>ในอาหารมังสวิรัติเหล็กในรูป heme-iron มาก</t>
  </si>
  <si>
    <t>สาร phytate ในอาหารรบกวนการดูดซึมเหล็ก</t>
  </si>
  <si>
    <t>เหล็กจะพบได้จากอาหารที่มาจากเนื้อสัตว์เท่านั้น</t>
  </si>
  <si>
    <t>วิตามินซีจากผัก+ผลไม้ลดการดูดซึมเหล็ก</t>
  </si>
  <si>
    <t>Renal Enteral Formula (High calorie, Low electrolyte)</t>
  </si>
  <si>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</si>
  <si>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เกลือแร่ในข้อใดผิด</t>
  </si>
  <si>
    <t>ถ้าขาดสังกะสีจะทำให้อาการอวัยวะเพศไม่เติบโตตามวัยและแผลหายช้า</t>
  </si>
  <si>
    <t>ควรเสริมไอโอดีนแก่เด็กที่ป้องกันฟันผุ โดยให้ผสมกับน้ำความเข้มข้น 1 ต่อล้าน</t>
  </si>
  <si>
    <t>แคลเซียมและฟอสฟอรัสเป็นเกลือแร่ที่สำคัญ เป็นส่วนประกอบของกระดูกและฟัน</t>
  </si>
  <si>
    <t>ถ้าขาดทองแดงจะทำให้เป็นโรคโลหิตจาง</t>
  </si>
  <si>
    <t>ถ้าขาดไอโอดีนทำให้เป็นโรคคอพอก</t>
  </si>
  <si>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</si>
  <si>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ผู้ป่วยที่มีอาการอ่อนเพลีย ใจสั่น ซีด เหนื่อยง่าย เล็บโค้งคล้ายช้อน ผู้ป่วยนั้นขาดสารอาหาร</t>
  </si>
  <si>
    <t>Vit E</t>
  </si>
  <si>
    <t>Vit B1</t>
  </si>
  <si>
    <t>Iron</t>
  </si>
  <si>
    <t>Vit C</t>
  </si>
  <si>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</si>
  <si>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ผู้ป่วยได้รับยา MAOI เมื่อรับประทานปลาร้าหรือเนยแข็งอาจเกิด acute hypertension เนื่องจากอาหารนี้มีสารอาหารพวก</t>
  </si>
  <si>
    <t>Tyramine</t>
  </si>
  <si>
    <t>Glutamine</t>
  </si>
  <si>
    <t>Phanalzine</t>
  </si>
  <si>
    <t>Tyrosine</t>
  </si>
  <si>
    <t>Phenylalanine</t>
  </si>
  <si>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</si>
  <si>
    <t>น้ำมันปลากินไปนานๆแล้วเป็นอย่างไร</t>
  </si>
  <si>
    <t>ปวดหัว</t>
  </si>
  <si>
    <t>ตาพร่ามัว</t>
  </si>
  <si>
    <t>มวลกระดูกเพิ่มขึ้น</t>
  </si>
  <si>
    <t>ระยะเวลาการแข็งตัวของเลือดยาวนานขึ้น</t>
  </si>
  <si>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</si>
  <si>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รูปแบบของวิตามินดีที่พร้อมออกฤทธิ์ (Active form) ในร่างกายคือข้อใด</t>
  </si>
  <si>
    <t>1,25-dihydroxycholecalciferol (Calcitriol)</t>
  </si>
  <si>
    <t>1-hydroxycholecalciferol (Alfacalcidol)</t>
  </si>
  <si>
    <t>25-hydroxycholecalciferol (Calcifediol)</t>
  </si>
  <si>
    <t>Cholecalciferol (Vitamin D3)</t>
  </si>
  <si>
    <t>Ergocalciferol (Vitamin D2)</t>
  </si>
  <si>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</si>
  <si>
    <t>ข้อ 49 (PLE_CC1_2557.md)</t>
  </si>
  <si>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</si>
  <si>
    <t>Refeeding Syndrome (Hypophosphatemia, Hypokalemia, Hypomagnesemia)</t>
  </si>
  <si>
    <t>Hyperosmolar Hyperglycemic State (HHS)</t>
  </si>
  <si>
    <t>Metabolic Acidosis with High Anion Gap</t>
  </si>
  <si>
    <t>Hyperphosphatemia and Hypercalcemia</t>
  </si>
  <si>
    <t>Hepatic Encephalopathy from Nitrogen Overload</t>
  </si>
  <si>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</si>
  <si>
    <t>ผู้ป่วยวัณโรคที่ได้รับยา Isoniazid (INH) ควรได้รับวิตามินใดเสริมเพื่อป้องกันภาวะปลายประสาทอักเสบ (Peripheral neuropathy)</t>
  </si>
  <si>
    <t>Riboflavin (Vitamin B2)</t>
  </si>
  <si>
    <t>Cyanocobalamin (Vitamin B12)</t>
  </si>
  <si>
    <t>Nicotinamide (Vitamin B3)</t>
  </si>
  <si>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</si>
  <si>
    <t>ข้อ 15 (PLE_CC1_Key_Rx20_UBU.md)</t>
  </si>
  <si>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</si>
  <si>
    <t>ระย่อม</t>
  </si>
  <si>
    <t>ดอกดึง</t>
  </si>
  <si>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</si>
  <si>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Herbal Extraction methods</t>
  </si>
  <si>
    <t>Herbal Medicine &amp; Extract</t>
  </si>
  <si>
    <t>Mock PLE-CC 1 ข้อ 12</t>
  </si>
  <si>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</si>
  <si>
    <t>กาแฟ</t>
  </si>
  <si>
    <t>โคคา</t>
  </si>
  <si>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</si>
  <si>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Mock PLE-CC 1 ข้อ 24</t>
  </si>
  <si>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</si>
  <si>
    <t>Horse Chestnut</t>
  </si>
  <si>
    <t>Hawthorn</t>
  </si>
  <si>
    <t>Ginkgo</t>
  </si>
  <si>
    <t>ฮ่วยฮวย</t>
  </si>
  <si>
    <t>St.John's wort</t>
  </si>
  <si>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</si>
  <si>
    <t>Mock PLE-CC 1 ข้อ 25</t>
  </si>
  <si>
    <t>ยาพัฒนาจากสมุนไพรช่วยขับปัสสาวะใด
ที่มีโอกาสเสริมฤทธิ์กับยาลดระดับน ้าตาลในเลือดแบบกินหรือยาฉีดอินซูลิน</t>
  </si>
  <si>
    <t>ยาหญ้าหนวดแมว</t>
  </si>
  <si>
    <t>ยากระเจี๊ยบแดง</t>
  </si>
  <si>
    <t>ยารางจืด</t>
  </si>
  <si>
    <t>ยาหญ้าปักกิ่ง</t>
  </si>
  <si>
    <t>ยาหญ้าดอกขาว</t>
  </si>
  <si>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</si>
  <si>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Mock PLE-CC 1 ข้อ 40</t>
  </si>
  <si>
    <t>เริม ใช้ยาสมุนไพรอะไร</t>
  </si>
  <si>
    <t>ยาพญายอ</t>
  </si>
  <si>
    <t>ยาบัวบก</t>
  </si>
  <si>
    <t>ยาทิงเจอร์พลู</t>
  </si>
  <si>
    <t>ยาทิงเจอร์พลูทองพันชั่ง</t>
  </si>
  <si>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</si>
  <si>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130</t>
  </si>
  <si>
    <t>ใช้ส่วนของสมุนไพรอะไรในการรักษา</t>
  </si>
  <si>
    <t>ใบ</t>
  </si>
  <si>
    <t>เถา</t>
  </si>
  <si>
    <t>ราก</t>
  </si>
  <si>
    <t>เมล็ด</t>
  </si>
  <si>
    <t>เปลือกผล</t>
  </si>
  <si>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</si>
  <si>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Mock PLE-CC 1 ข้อ 131</t>
  </si>
  <si>
    <t>สามารถใช้สมุนไพรใดในการรักษาอาการนอนไม่หลับ ตามบัญชียาสมุนไพรแห่งชาติ ปี 2566</t>
  </si>
  <si>
    <t>อบเชย</t>
  </si>
  <si>
    <t>น้ำมันกัญชาทั้งห้า</t>
  </si>
  <si>
    <t>สารสกัดขี้เหล็ก</t>
  </si>
  <si>
    <t>ประสะมะแว้ง ปวดกลามเนอ ปวดขอ ลดอกเสบ ขบลม ใชไดแตไมอยในบญชยาหลกแหงชาต ไอ PLE-PC1 Preparation 2567</t>
  </si>
  <si>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</si>
  <si>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PLE_CC1_2567_Key ข้อ 21</t>
  </si>
  <si>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</si>
  <si>
    <t>โลชั่นเสลดพังพอน</t>
  </si>
  <si>
    <t>ครีมใบบัวบก</t>
  </si>
  <si>
    <t>ครีมเม็ดน้อยหน่า</t>
  </si>
  <si>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</si>
  <si>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PLE_CC1_2567_Key ข้อ 42</t>
  </si>
  <si>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</si>
  <si>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</si>
  <si>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</si>
  <si>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</si>
  <si>
    <t>Gingerol quantification in Zingiber officinale</t>
  </si>
  <si>
    <t>Maceration with Ethanol 70% solvent</t>
  </si>
  <si>
    <t>Soxhlet Extraction for heat-stable phytochemicals</t>
  </si>
  <si>
    <t>Supercritical Fluid Extraction (SFE-CO2)</t>
  </si>
  <si>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</si>
  <si>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PLE_CC1_2567_Set1_Key ข้อ 42</t>
  </si>
  <si>
    <t>ร้านขายยาแผนปัจจุบันมียาสมุนไพรที่เขียนว่าขายได้เฉพาะสถานที่ที่มีใบอนุญาตขายได้หรือไม่เพราะอะไร ตัวเลือก</t>
  </si>
  <si>
    <t>Standardized Curcuminoids in Curcuma longa</t>
  </si>
  <si>
    <t>Standardized Andrographolide in Andrographis paniculata</t>
  </si>
  <si>
    <t>Senna glycosides (Sennosides A &amp; B) Extraction</t>
  </si>
  <si>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</si>
  <si>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PLE-CC1 ปี 2566 Day 2 ข้อ 61</t>
  </si>
  <si>
    <t>ไม่ได้เพราะไม่มีใบอนุญาตขายผลิตภัณฑ์สมุนไพร</t>
  </si>
  <si>
    <t>Centella asiatica (Madecassoside &amp; Asiaticoside)</t>
  </si>
  <si>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</si>
  <si>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สมุนไพรใดที่ใชลดน้ำตาลในเลือดไดโดยมีหลักฐานทางวิชาการยืนยัน</t>
  </si>
  <si>
    <t>ดอกแค</t>
  </si>
  <si>
    <t>ใบขี้เหล็ก</t>
  </si>
  <si>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</si>
  <si>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สมุนไพรใช$ภายนอกรักษาผิวหนังอักเสบคืออะไร แรงเ8นไป High potency steroid - ↑</t>
  </si>
  <si>
    <t>เมล็ดน$อยหน-า</t>
  </si>
  <si>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</si>
  <si>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</si>
  <si>
    <t>PLE_CC1_2565_Day2_Key ข้อ 37</t>
  </si>
  <si>
    <t>สมุนไพรตัวใดช่วยขับปัสสาวะ</t>
  </si>
  <si>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</si>
  <si>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21</t>
  </si>
  <si>
    <t>สมุนไพรที่เกิดอันตรกิริยากับยาต้าน HIV มากที่สุด</t>
  </si>
  <si>
    <t>St. John wort</t>
  </si>
  <si>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</si>
  <si>
    <t>PLE_CC1_2564_All_Key ข้อ 79</t>
  </si>
  <si>
    <t>สมุนไพรใดที่มี sulfur containing compound หลายชนิดและเป็น Herb drug interaction กับยาต้านเกล็ดเลือดและทำให้เลือกออกได้มาก</t>
  </si>
  <si>
    <t>ขิง b. กระเทียม c. แปะก๊วย</t>
  </si>
  <si>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</si>
  <si>
    <t>Cragelor</t>
  </si>
  <si>
    <t>Abciximab</t>
  </si>
  <si>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</si>
  <si>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PLE_CC1_2564_All_Key ข้อ 97</t>
  </si>
  <si>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</si>
  <si>
    <t>St.John wort</t>
  </si>
  <si>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</si>
  <si>
    <t>PLE_CC1_2564_All_Key ข้อ 140</t>
  </si>
  <si>
    <t>ตำรับยาสมุนไพรในข้อใดสะเป็นประโยฬน์ต่อผู้ป่วยน้อยที่สุด</t>
  </si>
  <si>
    <t>ยาครีมพริก</t>
  </si>
  <si>
    <t>ยาผษกล้วย</t>
  </si>
  <si>
    <t>น้ำมันไพล ษ. ยาประสะไพล ส. ยาเถาวัลย์เปรียษ โจทย์เพิ่ม</t>
  </si>
  <si>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</si>
  <si>
    <t>PLE_CC1_2563_Q ข้อ 101</t>
  </si>
  <si>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</si>
  <si>
    <t>Diclofenac tablet</t>
  </si>
  <si>
    <t>Tramadol capsule</t>
  </si>
  <si>
    <t>Indomethacin spray</t>
  </si>
  <si>
    <t>Naproxen tablet</t>
  </si>
  <si>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</si>
  <si>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กระทรวงสาธารณสุข ประกาศสมุนไพรใด ที่รับประทานแล้วมีผื่นคัน บวม , Intra articular X ↑ IM</t>
  </si>
  <si>
    <t>หญ้าดอกขาว</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</si>
  <si>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</si>
  <si>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31 (PLE_CC1_2562_Key.md)</t>
  </si>
  <si>
    <t>สมุนไพรใดที่ไม่ควรใช้ในผู้ป่วยเบาหวาน X O -</t>
  </si>
  <si>
    <t>กระเจีěยบแดง</t>
  </si>
  <si>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</si>
  <si>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65 (PLE_CC1_2562_Key.md)</t>
  </si>
  <si>
    <t>สมุนไพรใดมีสาร vincristine หรือ vinblastine &amp; 2 D5 W Tarvein : protein 2: Denature - - X X -</t>
  </si>
  <si>
    <t>ดองดึง</t>
  </si>
  <si>
    <t>เสนียด</t>
  </si>
  <si>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</si>
  <si>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</si>
  <si>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61 (PLE_CC1_2562_Key.md)</t>
  </si>
  <si>
    <t>สมุนไพรใดสามารถบรรเทาอาการปวดได</t>
  </si>
  <si>
    <t>เหงาขิง</t>
  </si>
  <si>
    <t>ยาขิง</t>
  </si>
  <si>
    <t>พญาสัตบรรณ</t>
  </si>
  <si>
    <t>ประสะกระเพรา</t>
  </si>
  <si>
    <t>ยาผสมเถาวัลยTเปรียง</t>
  </si>
  <si>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</si>
  <si>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19 (PLE_CC1_2561_Key.md)</t>
  </si>
  <si>
    <t>ยาพัฒนาจากสมุนไพรใดที่ใชรักษาในการรักษาเริม</t>
  </si>
  <si>
    <t>ใบพลู</t>
  </si>
  <si>
    <t>ใบพญายอ</t>
  </si>
  <si>
    <t>ใบทองพันชั่ง</t>
  </si>
  <si>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</si>
  <si>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26 (PLE_CC1_2561_Key.md)</t>
  </si>
  <si>
    <t>จากขอ 26 หากตองการตรวจสอบคุณภาพผงสมุนไพร ดวยวิธีการ ส!องกลองจุลทรรศนT ควรพบเนื้อเยื้อส!วนใดบาง</t>
  </si>
  <si>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</si>
  <si>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27 (PLE_CC1_2561_Key.md)</t>
  </si>
  <si>
    <t>สมุนไพรใดไม!มีฤทธิ์แกไอ</t>
  </si>
  <si>
    <t>มะแวง</t>
  </si>
  <si>
    <t>ชะอมเทศ</t>
  </si>
  <si>
    <t>มะขามปFอม</t>
  </si>
  <si>
    <t>ฟFาทลายโจร a cephang r ข y จ ค</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</si>
  <si>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</si>
  <si>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35 (PLE_CC1_2561_Key.md)</t>
  </si>
  <si>
    <t>ตามบัญชียาที่พัฒนามาจากสมุนไพร ยาใดที่สามารถรักษาอาการ โรคผิวหนังจากเชื้อราได(</t>
  </si>
  <si>
    <t>ยาทิงเจอรพลู</t>
  </si>
  <si>
    <t>ยาว.านหางจระเข(</t>
  </si>
  <si>
    <t>ยาทิงเจอร X</t>
  </si>
  <si>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</si>
  <si>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40 (PLE_CC1_2561_Key.md)</t>
  </si>
  <si>
    <t>ยาสมุนไพรใดมีข้อบ.งใช(ในสูตินรีเวช สามารถใช(แก(อาการปวด ประจำเดือนในสตรีได(</t>
  </si>
  <si>
    <t>ยาสหัสธารา</t>
  </si>
  <si>
    <t>ยาจันทนลีลา</t>
  </si>
  <si>
    <t>ยาไฟประลัยกัลป}</t>
  </si>
  <si>
    <t>ยาหอมอินทรจักร</t>
  </si>
  <si>
    <t>ยาประสะกระเพรา</t>
  </si>
  <si>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</si>
  <si>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58 (PLE_CC1_2561_Key.md)</t>
  </si>
  <si>
    <t>สมุนไพรในสาธารณสุขมูลฐานใดที่มีฤทธิ์ขับพยาธิ</t>
  </si>
  <si>
    <t>เมล็ดฟVกทอง</t>
  </si>
  <si>
    <t>ผลแก.แมงลัก</t>
  </si>
  <si>
    <t>น้ำมันมะพร(าว</t>
  </si>
  <si>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</si>
  <si>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65 (PLE_CC1_2561_Key.md)</t>
  </si>
  <si>
    <t>สมุนไพรในบัญชียาหลักหรือสาธารณสุขมูลธารตัวใดมีฤทธิ์แก(ขัด เบา</t>
  </si>
  <si>
    <t>ช(าพลู</t>
  </si>
  <si>
    <t>หญ(าปVกกิ่ง</t>
  </si>
  <si>
    <t>ฟqาทะลายโจร</t>
  </si>
  <si>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</si>
  <si>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</si>
  <si>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75 (PLE_CC1_2561_Key.md)</t>
  </si>
  <si>
    <t>ต.อมาผู(ปcวยตั้งครรภ (หลังจากหยุดยาสิวไปแล(ว 1 ปá) แล(วมีอาการ คลื่นไส(อาเจียน ท.านจะใช(สมุนไพร ตัวใดการรักษาอาการ F</t>
  </si>
  <si>
    <t>เถาวัลยเปรียง</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</si>
  <si>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</si>
  <si>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82 (PLE_CC1_2561_Key.md)</t>
  </si>
  <si>
    <t>ยาสมุนไพรใดแก(พิษแมลงสัตวกัดต.อย</t>
  </si>
  <si>
    <t>เหง(าไพร</t>
  </si>
  <si>
    <t>ว.านหางจระเข( e e</t>
  </si>
  <si>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</si>
  <si>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122 (PLE_CC1_2561_Key.md)</t>
  </si>
  <si>
    <t>สมุนไพรใดบรรเทาอาการคลื่นไส้ อาเจียนได้</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</si>
  <si>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</si>
  <si>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สมุนไพรใดที่ห้ามใช้ในผู้ป่วยไต และความดัน</t>
  </si>
  <si>
    <t>กระชาย</t>
  </si>
  <si>
    <t>ทองพันชั่ง ห้ามนำไปทำซ้ำทุกกรณี เว้นแต่จะได้รับอนุญาต</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</si>
  <si>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</si>
  <si>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5 (PLE_CC1_2559.md)</t>
  </si>
  <si>
    <t>สมุนไพรใดที่ใช้ในการเลิกบุหรี่</t>
  </si>
  <si>
    <t>พริก</t>
  </si>
  <si>
    <t>มะระขี นก</t>
  </si>
  <si>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</si>
  <si>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14 (PLE_CC1_2559.md)</t>
  </si>
  <si>
    <t>ยาสมุนไพรหรือยาแผนโบราณใดที่ใช้ในการรักษาอีสุกอีใส</t>
  </si>
  <si>
    <t>ยามหานิลแท่งทอง</t>
  </si>
  <si>
    <t>ยาจันทน์ลีลา</t>
  </si>
  <si>
    <t>ยาเบญจกูล</t>
  </si>
  <si>
    <t>ยาเบญจโลกวิเชียร</t>
  </si>
  <si>
    <t>ยาหอมอินทรจักร ห้ามนำไปทำซ้ำทุกกรณี เว้นแต่จะได้รับอนุญาต</t>
  </si>
  <si>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</si>
  <si>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38 (PLE_CC1_2559.md)</t>
  </si>
  <si>
    <t>ยาสมุนไพรใดให้ผลการรักษาเทียบเท่ากับ NSAID</t>
  </si>
  <si>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</si>
  <si>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64 (PLE_CC1_2558_Key.md)</t>
  </si>
  <si>
    <t>สมุนไพรข้อใดที่ใช้ในการรักษากลาก เกลื้อน ฮ่องกงฟุต</t>
  </si>
  <si>
    <t>ยาทาขลู่</t>
  </si>
  <si>
    <t>ยาทาทองพันชั่ง</t>
  </si>
  <si>
    <t>ครีมบัวบก</t>
  </si>
  <si>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</si>
  <si>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98 (PLE_CC1_2558_Key.md)</t>
  </si>
  <si>
    <t>สมุนไพรในข้อใดช่วยรักษาอาการงูสวัด</t>
  </si>
  <si>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</si>
  <si>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15 (Pharmtutor_2024_Set1.md)</t>
  </si>
  <si>
    <t>สมุนไพรในข้อใดช่วยบรรเทาอาการคลื่นไส้อาเจียน</t>
  </si>
  <si>
    <t>เหง้าขิง</t>
  </si>
  <si>
    <t>ใบมะกรูด</t>
  </si>
  <si>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</si>
  <si>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22 (Pharmtutor_2024_Set1.md)</t>
  </si>
  <si>
    <t>สมุนไพรในข้อใดบรรเทาอาการต่างจากข้ออื่น</t>
  </si>
  <si>
    <t>กล้วยน้ำหว้าดิบ</t>
  </si>
  <si>
    <t>ใบสีเสียด</t>
  </si>
  <si>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</si>
  <si>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26 (Pharmtutor_2024_Set1.md)</t>
  </si>
  <si>
    <t>ยาสมุนไพรในข้อใด มีข้อบ่งใช้ในการบรรเทาอการของโรคโพรงจมูกอักเสบ</t>
  </si>
  <si>
    <t>ยาประสะไพล</t>
  </si>
  <si>
    <t>ยาธาตุบรรจบ</t>
  </si>
  <si>
    <t>ยาปราบชมพูทวีป</t>
  </si>
  <si>
    <t>ยาเหลืองปิดสมุทร</t>
  </si>
  <si>
    <t>ยาแคปซูลฟ้าทะลายโจร</t>
  </si>
  <si>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</si>
  <si>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87 (Pharmtutor_2024_Set1.md)</t>
  </si>
  <si>
    <t>ผู้ป่วยเริม สามารถใช้สมุนไพรชนิดใด สำหรับบรรเทาอาการ</t>
  </si>
  <si>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</si>
  <si>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16 (Pharmtutor_2024_Set2.md)</t>
  </si>
  <si>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</si>
  <si>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</si>
  <si>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17 (PLE_CC1_2557.md)</t>
  </si>
  <si>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</si>
  <si>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</si>
  <si>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18 (PLE_CC1_2557.md)</t>
  </si>
  <si>
    <t>สมุนไพรใด สามารถบรรเทาอาการคลื_x001E_นไส้ อาเจียน (1) เหง้าขิงแก่ (2) ผลยอสุก (3) ผลฝรั_x0003_งอ่อน (4) ใบชุมเห็ดเทศ (5) ดอกกานพลู</t>
  </si>
  <si>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</si>
  <si>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ผู้ป่วยที_x001E_มีปัญหาโรคตับ ไม่ควรใช้สมุนไพรในข้อใด (1) ขมิ_x001B_นชัน (2) ขี_x001B_เหล็ก (3) ขิง (4) กระเจีBยบแดง (5) หญ้าหนวดแมว</t>
  </si>
  <si>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</si>
  <si>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61 (PLE_CC1_2557.md)</t>
  </si>
  <si>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</si>
  <si>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</si>
  <si>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42 (PLE_CC1_2557.md)</t>
  </si>
  <si>
    <t>ฟ้าทะลายโจร บางครั้งเวลาเจ็บคอ</t>
  </si>
  <si>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</si>
  <si>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ถ้าจะใช้เป็นสมุนไพรสาธารณสุขมูลฐาน ต้องใช้อะไร</t>
  </si>
  <si>
    <t>ยอ</t>
  </si>
  <si>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</si>
  <si>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</si>
  <si>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สมุนไพรใดใช้บรรเทาอาการนี้</t>
  </si>
  <si>
    <t>ฝรั่ง</t>
  </si>
  <si>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</si>
  <si>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ระเหย ในขมิ้นชัน มีสรรพคุณบรรเทา อาการปวดท้อง ท้องอืด แน่นจุดเสียด</t>
  </si>
  <si>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</si>
  <si>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สมุนไพรข้อใดไม่แนะนำให้กินเสริมธาตุเหล็ก</t>
  </si>
  <si>
    <t>Standard Operating Procedure 7.สมุนไพรสาธารณะสุขมูลฐานที่ใช้แก้อาการเบื่ออาหาร</t>
  </si>
  <si>
    <t>ไม่ถูกต้องเพราะยาสมุนไพรไม่ได้สามารถตีพิมพ์โฆษณาในหนังสือทั่วไปได้</t>
  </si>
  <si>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</si>
  <si>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</si>
  <si>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</si>
  <si>
    <t>ใช้ยาตามเดิมและติดตามอาการเป็นระยะ</t>
  </si>
  <si>
    <t>เปลี่ยนยาสำหรับรักษาความดันโลหิตทั้ง 2 ตัว พร้อมออกบัตรแพ้ยาให้แก่ผู้ป่วย</t>
  </si>
  <si>
    <t>พิจารณาปรับขนาดยาที่ผู้ป่วยใช้อยู่ทั้งหมด เนื่องจากผู้ป่วยมีภาวะ Renal impairment จาก โรคเบาหวาน</t>
  </si>
  <si>
    <t>พิจารณาการรักษา Renal impairment ร่วมด้วย เนื่องจากอาการขาบวมเกิดจากภาวะ Fluid retention</t>
  </si>
  <si>
    <t>เปลี่ยนยา Amlodipine เป็นยารักษาความดันโลหิตสูงชนิดอื่น</t>
  </si>
  <si>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</si>
  <si>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สมุนไพรใดมีฤทธิ์บรรเทาอาการไอ</t>
  </si>
  <si>
    <t>เพกา</t>
  </si>
  <si>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</si>
  <si>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หนูนิดโดนน้ำร้อนลวก คุณแม่สามารถใช้สมุนไพรใดเพื่อบรรเทาอาการของหนูนิดได้</t>
  </si>
  <si>
    <t>ผักคราดหัวแหวน</t>
  </si>
  <si>
    <t>บอระเพ็ด</t>
  </si>
  <si>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</si>
  <si>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น้องแก้วต้องการใช้สมุนไพรขับพยาธิ น้องแก้วควรเลือกสมุนไพรใด</t>
  </si>
  <si>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</si>
  <si>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กระเจี๊ยบมอญ</t>
  </si>
  <si>
    <t>หมาก</t>
  </si>
  <si>
    <t>กานพลู</t>
  </si>
  <si>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</si>
  <si>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Vincristine เป็นสาระสำคัญที่ได้จากสมุนไพรอะไร</t>
  </si>
  <si>
    <t>Pacific Yew</t>
  </si>
  <si>
    <t>ลำโพง</t>
  </si>
  <si>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</si>
  <si>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สมุนไพรใดที่ออกฤทธิ์เป็นยาชาเฉพาะที่ได้</t>
  </si>
  <si>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</si>
  <si>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ว่านมหากาฬ</t>
  </si>
  <si>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</si>
  <si>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พิมพารู้สึกคลื่นไส้ อยากจะอาเจียนทั้งวัน ควรเลือกสมุนไพรใดบรรเทาอาการ</t>
  </si>
  <si>
    <t>กระวาน</t>
  </si>
  <si>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</si>
  <si>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สมุนไพรใดต่อไปนี้มีฤทธิ์รักษาชันนะตุ</t>
  </si>
  <si>
    <t>มะคำดีควาย</t>
  </si>
  <si>
    <t>หญ้าคา</t>
  </si>
  <si>
    <t>อ้อยแดง</t>
  </si>
  <si>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</si>
  <si>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สมุนไพรต่อไปนี้สามารถแก้อาการท้องผูกได้ยกเว้นข้อใด</t>
  </si>
  <si>
    <t>คูน</t>
  </si>
  <si>
    <t>แมงลัก</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</si>
  <si>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</si>
  <si>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เภสัชกรภาคภูมิต้องการตั้งตำรับโดยมีสาระสำคัญจากสมุนไพรที่มีฤทธิ์แก้เคล็ด ขัด ยอก เภสัชกร ภาคภูมิควรใช้สมุนไพรใด</t>
  </si>
  <si>
    <t>มังคุด</t>
  </si>
  <si>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</si>
  <si>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ข้อใดผิดเกี่ยวกับส่วนที่ใช้ของสมุนไพรที่มีฤทธิ์แก้ท้องอืด ท้องเฟ้อ จุกเสียด แน่นหน้าอก</t>
  </si>
  <si>
    <t>กระชายใช้เหง้าใต้ดิน</t>
  </si>
  <si>
    <t>กะเพราใช้ราก</t>
  </si>
  <si>
    <t>ขิงใช้เหง้าขิงแก้ทั้งสดและแห้ง</t>
  </si>
  <si>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</si>
  <si>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</si>
  <si>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</si>
  <si>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สมุนไพรใดมีฤทธิ์ลดไขมันในเลือด</t>
  </si>
  <si>
    <t>ข้อใดเป็นสมุนไพรแก้ท้องเสีย</t>
  </si>
  <si>
    <t>ผลฝรั่งดิบ สมุนไพรแก้ท้องเสียได้แก่ 1.ผลฝรั่งลูกอ่อน ใบแก่ 2.ใบฟ้าทะลายโจร 3.ผลกล้วยน้ำหว้าดิบ</t>
  </si>
  <si>
    <t>เปลือกผลแห้งทับทิม 5.เปลือกผลแห้งมังคุด 6.เปลือกต้นสีเสียด</t>
  </si>
  <si>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</si>
  <si>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</si>
  <si>
    <t>แจ้งให้ผู้ป่วยทราบว่าไม่สามารถขายยานี้ได้ เนื่องจากไม่มีใบอนุญาตขายยาสมุนไพร</t>
  </si>
  <si>
    <t>กินแคปซูลขมิ้นชัน</t>
  </si>
  <si>
    <t>แคปซูลเถาวัลย์เปรียง</t>
  </si>
  <si>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</si>
  <si>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อาการใดที่เกิดขึ้นในช่วงแรกของการใช้สมุนไพรมะขามแขก</t>
  </si>
  <si>
    <t>atonic colon</t>
  </si>
  <si>
    <t>abdominal pain</t>
  </si>
  <si>
    <t>non-infection diarrhea</t>
  </si>
  <si>
    <t>electrolyte imbalance</t>
  </si>
  <si>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</si>
  <si>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</si>
  <si>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</si>
  <si>
    <t>การที่หน้าร้านมีป้ายโฆษณาว่า ยาสมุนไพรอีอี มีฤทธิ์รักษาเบาหวาน ถือว่ามีการกระทำความผิดหรือไม่</t>
  </si>
  <si>
    <t>ไม่มีความผิด</t>
  </si>
  <si>
    <t>ผิด เนื่องจากมีการโฆษณาโอ้อวดสรรพคุณ</t>
  </si>
  <si>
    <t>ผิด เนื่องจากมีการโฆษณาอันเป็๋นเท็จ</t>
  </si>
  <si>
    <t>ผิด เนื่องจากมีการโฆษณาที่ได้รับการยกย่องโดยบุคคลอื่น</t>
  </si>
  <si>
    <t>ผิด เนื่องจากมีการโฆษณาสรรพคุณของโรคที่รัฐมนตรีประกาศ</t>
  </si>
  <si>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</si>
  <si>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สมุนไพรในบัญชียาหลักแห่งชาติตัวใดที่สามารถกินได้เพื่อ บรรเทาอาการปวด เหมือน NSAIDs?</t>
  </si>
  <si>
    <t>เปล้านอย</t>
  </si>
  <si>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</si>
  <si>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t>
  </si>
  <si>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</si>
  <si>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</si>
  <si>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ยา Midazolam หน้าร้านมีปายโฆษณาติดอยูว่า “ยาสมุนไพร อีอี สำหรับรักษา โรคเบาหวาน”</t>
  </si>
  <si>
    <t>สมุนไพรที่ลดไขมันได</t>
  </si>
  <si>
    <t>เพื่อให้เกิดการพัฒนาอุตสาหกรรมการผลิตยา สมุนไพร ชีววัตถุ ภายในประเทศเพื่อพึ่งพาตัวเองมากยิ่งขึ้น</t>
  </si>
  <si>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</si>
  <si>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สมุนไพรใดสามารถลดอาการอาเจียนได้</t>
  </si>
  <si>
    <t>โหระพา</t>
  </si>
  <si>
    <t>กล้วย</t>
  </si>
  <si>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</si>
  <si>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</si>
  <si>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สมุนไพรใด ไม่ควรใช้ร่วมกับ NSAIDs</t>
  </si>
  <si>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</si>
  <si>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</si>
  <si>
    <t>ข้อ 108 (PLE_CC1_Key_Rx20_UBU.md)</t>
  </si>
  <si>
    <t>เหตุใดจึงไม่ควรใช้หญ้าหนวดแมวในผู้ป่วยโรคไต Isoniazid Sund metabolismos Bo 6 wit most B6 50-100 mg/d . - - in dentaso X ↑ hyperkalemia</t>
  </si>
  <si>
    <t>มีปริมาณโพแทสเซียมสูง</t>
  </si>
  <si>
    <t>อาจทำให้ไขมันในเลือดสูง</t>
  </si>
  <si>
    <t>อาจทำให้น้ำตาลในเลือดสูง</t>
  </si>
  <si>
    <t>อาจทำให้ความดันโลหิตสูง</t>
  </si>
  <si>
    <t>ไม่อยู่ในบัญชียาหลัก (บัญชียาสมุนไพร) หË´มนาÆปทาซËาทืกกรณิ ÂวËนาต้จ²ÆดËรงบ¯นืญ´ต -</t>
  </si>
  <si>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</si>
  <si>
    <t>ข้อ 39 (PLE_CC1_2562_Key.md)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</si>
</sst>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color rgb="FF000000"/>
      <name val="Arial"/>
      <scheme val="minor"/>
    </font>
    <font>
      <b/>
      <sz val="10"/>
      <color rgb="FFFFFFFF"/>
      <name val="Arial"/>
      <scheme val="minor"/>
    </font>
    <font>
      <sz val="10"/>
      <color theme="1"/>
      <name val="Arial"/>
      <scheme val="minor"/>
    </font>
    <font>
      <b/>
      <sz val="11"/>
      <color rgb="FF0C47A0"/>
      <name val="Bai Jamjuree"/>
    </font>
    <font>
      <b/>
      <sz val="10"/>
      <color rgb="FFFFFFFF"/>
      <name val="Bai Jamjuree"/>
    </font>
    <font>
      <b/>
      <sz val="10"/>
      <color rgb="FF191919"/>
      <name val="Bai Jamjuree"/>
    </font>
    <font>
      <sz val="10"/>
      <color theme="1"/>
      <name val="Bai Jamjuree"/>
    </font>
    <font>
      <u/>
      <sz val="10"/>
      <color rgb="FF0000FF"/>
      <name val="Arial"/>
    </font>
    <font>
      <b/>
      <sz val="10"/>
      <color rgb="FF1459A5"/>
      <name val="Bai Jamjuree"/>
    </font>
    <font>
      <b/>
      <sz val="11"/>
      <color rgb="FF3530A3"/>
      <name val="Bai Jamjuree"/>
    </font>
    <font>
      <b/>
      <u/>
      <sz val="11"/>
      <color rgb="FF0C47A0"/>
      <name val="Bai Jamjuree"/>
    </font>
    <font>
      <b/>
      <sz val="11"/>
      <color rgb="FF0D47A1"/>
      <name val="Bai Jamjuree"/>
    </font>
    <font>
      <sz val="10"/>
      <name val="Bai Jamjuree"/>
    </font>
    <font>
      <b/>
      <sz val="10"/>
      <name val="Bai Jamjuree"/>
    </font>
    <font>
      <b/>
      <sz val="10"/>
      <color rgb="FFFFFFFF"/>
      <name val="Bai Jamjuree"/>
    </font>
    <font>
      <sz val="9.5"/>
      <name val="Bai Jamjuree"/>
    </font>
  </fonts>
  <fills count="21">
    <fill>
      <patternFill patternType="none"/>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s>
  <borders count="2">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55">
    <xf numFmtId="0" fontId="0" fillId="0" borderId="0" xfId="0"/>
    <xf numFmtId="0" fontId="1" fillId="2" borderId="0" xfId="0" applyFont="1" applyFill="1"/>
    <xf numFmtId="0" fontId="2" fillId="0" borderId="0" xfId="0" applyFont="1"/>
    <xf numFmtId="0" fontId="4" fillId="2" borderId="0" xfId="0" applyFont="1" applyFill="1" applyAlignment="1">
      <alignment horizontal="center" vertical="center"/>
    </xf>
    <xf numFmtId="9" fontId="2" fillId="0" borderId="0" xfId="0" applyNumberFormat="1" applyFont="1"/>
    <xf numFmtId="0" fontId="4" fillId="5" borderId="0" xfId="0" applyFont="1" applyFill="1" applyAlignment="1">
      <alignment horizontal="center" vertical="center"/>
    </xf>
    <xf numFmtId="0" fontId="5" fillId="6" borderId="0" xfId="0" applyFont="1" applyFill="1" applyAlignment="1">
      <alignment horizontal="center" vertical="center"/>
    </xf>
    <xf numFmtId="0" fontId="7" fillId="0" borderId="0" xfId="0" applyFont="1"/>
    <xf numFmtId="0" fontId="2" fillId="0" borderId="0" xfId="0" quotePrefix="1" applyFont="1"/>
    <xf numFmtId="0" fontId="4" fillId="7" borderId="0" xfId="0" applyFont="1" applyFill="1" applyAlignment="1">
      <alignment horizontal="center" vertical="center"/>
    </xf>
    <xf numFmtId="0" fontId="2" fillId="0" borderId="0" xfId="0" applyFont="1" applyAlignment="1">
      <alignment wrapText="1"/>
    </xf>
    <xf numFmtId="0" fontId="4" fillId="2" borderId="0" xfId="0" applyFont="1" applyFill="1" applyAlignment="1">
      <alignment horizontal="center" vertical="center" wrapText="1"/>
    </xf>
    <xf numFmtId="0" fontId="2" fillId="0" borderId="0" xfId="0" quotePrefix="1" applyFont="1" applyAlignment="1">
      <alignment wrapText="1"/>
    </xf>
    <xf numFmtId="0" fontId="8" fillId="0" borderId="0" xfId="0" quotePrefix="1" applyFont="1" applyAlignment="1">
      <alignment horizontal="center" vertical="center"/>
    </xf>
    <xf numFmtId="0" fontId="4" fillId="8" borderId="0" xfId="0" applyFont="1" applyFill="1" applyAlignment="1">
      <alignment horizontal="center" vertical="center"/>
    </xf>
    <xf numFmtId="0" fontId="8" fillId="0" borderId="0" xfId="0" applyFont="1" applyAlignment="1">
      <alignment horizontal="center" vertical="center"/>
    </xf>
    <xf numFmtId="0" fontId="2" fillId="0" borderId="0" xfId="0" applyFont="1" applyAlignment="1">
      <alignment horizontal="center" vertical="center" wrapText="1"/>
    </xf>
    <xf numFmtId="0" fontId="4" fillId="8" borderId="0" xfId="0" applyFont="1" applyFill="1" applyAlignment="1">
      <alignment horizontal="center" vertical="center" wrapText="1"/>
    </xf>
    <xf numFmtId="0" fontId="4" fillId="8" borderId="0" xfId="0" applyFont="1" applyFill="1" applyAlignment="1">
      <alignment horizontal="left" vertical="center" wrapText="1"/>
    </xf>
    <xf numFmtId="0" fontId="2" fillId="0" borderId="0" xfId="0" quotePrefix="1" applyFont="1" applyAlignment="1">
      <alignment horizontal="center" vertical="center" wrapText="1"/>
    </xf>
    <xf numFmtId="0" fontId="2" fillId="0" borderId="0" xfId="0" applyFont="1" applyAlignment="1">
      <alignment horizontal="left" vertical="center" wrapText="1"/>
    </xf>
    <xf numFmtId="10" fontId="2" fillId="0" borderId="0" xfId="0" applyNumberFormat="1" applyFont="1"/>
    <xf numFmtId="9" fontId="2" fillId="0" borderId="0" xfId="0" applyNumberFormat="1" applyFont="1" applyAlignment="1">
      <alignment horizontal="center" vertical="center" wrapText="1"/>
    </xf>
    <xf numFmtId="0" fontId="4" fillId="9" borderId="0" xfId="0" applyFont="1" applyFill="1" applyAlignment="1">
      <alignment horizontal="center" vertical="center" wrapText="1"/>
    </xf>
    <xf numFmtId="0" fontId="4" fillId="10" borderId="0" xfId="0" applyFont="1" applyFill="1" applyAlignment="1">
      <alignment horizontal="center" vertical="center"/>
    </xf>
    <xf numFmtId="0" fontId="4" fillId="11" borderId="0" xfId="0" applyFont="1" applyFill="1" applyAlignment="1">
      <alignment horizontal="center" vertical="center"/>
    </xf>
    <xf numFmtId="0" fontId="4" fillId="13" borderId="0" xfId="0" applyFont="1" applyFill="1" applyAlignment="1">
      <alignment horizontal="center" vertical="center"/>
    </xf>
    <xf numFmtId="0" fontId="4" fillId="14" borderId="0" xfId="0" applyFont="1" applyFill="1" applyAlignment="1">
      <alignment horizontal="center" vertical="center"/>
    </xf>
    <xf numFmtId="0" fontId="6" fillId="0" borderId="0" xfId="0" applyFont="1" applyAlignment="1">
      <alignment horizontal="center" vertical="center"/>
    </xf>
    <xf numFmtId="0" fontId="4" fillId="15" borderId="0" xfId="0" applyFont="1" applyFill="1" applyAlignment="1">
      <alignment horizontal="center" vertical="center"/>
    </xf>
    <xf numFmtId="0" fontId="4" fillId="16" borderId="0" xfId="0" applyFont="1" applyFill="1" applyAlignment="1">
      <alignment horizontal="center" vertical="center"/>
    </xf>
    <xf numFmtId="0" fontId="3" fillId="3" borderId="0" xfId="0" applyFont="1" applyFill="1" applyAlignment="1">
      <alignment vertical="center" wrapText="1"/>
    </xf>
    <xf numFmtId="0" fontId="0" fillId="0" borderId="0" xfId="0" applyAlignment="1">
      <alignment wrapText="1"/>
    </xf>
    <xf numFmtId="0" fontId="12" fillId="0" borderId="0" xfId="0" quotePrefix="1" applyFont="1" applyAlignment="1">
      <alignment horizontal="center" vertical="top"/>
    </xf>
    <xf numFmtId="0" fontId="12" fillId="0" borderId="0" xfId="0" applyFont="1" applyAlignment="1">
      <alignment horizontal="left" vertical="top" wrapText="1"/>
    </xf>
    <xf numFmtId="0" fontId="12" fillId="0" borderId="0" xfId="0" applyFont="1" applyAlignment="1">
      <alignment horizontal="center" vertical="top"/>
    </xf>
    <xf numFmtId="20" fontId="12" fillId="0" borderId="0" xfId="0" applyNumberFormat="1" applyFont="1" applyAlignment="1">
      <alignment horizontal="left" vertical="top" wrapText="1"/>
    </xf>
    <xf numFmtId="0" fontId="13" fillId="0" borderId="1" xfId="0" quotePrefix="1" applyFont="1" applyBorder="1" applyAlignment="1">
      <alignment horizontal="center" vertical="top"/>
    </xf>
    <xf numFmtId="0" fontId="12" fillId="0" borderId="1" xfId="0" applyFont="1" applyBorder="1" applyAlignment="1">
      <alignment horizontal="left" vertical="top" wrapText="1"/>
    </xf>
    <xf numFmtId="0" fontId="12" fillId="0" borderId="1" xfId="0" applyFont="1" applyBorder="1" applyAlignment="1">
      <alignment horizontal="center" vertical="top"/>
    </xf>
    <xf numFmtId="0" fontId="12" fillId="0" borderId="1" xfId="0" quotePrefix="1" applyFont="1" applyBorder="1" applyAlignment="1">
      <alignment horizontal="center" vertical="top"/>
    </xf>
    <xf numFmtId="0" fontId="12" fillId="0" borderId="1" xfId="0" quotePrefix="1" applyFont="1" applyBorder="1" applyAlignment="1">
      <alignment horizontal="left" vertical="top" wrapText="1"/>
    </xf>
    <xf numFmtId="0" fontId="13" fillId="0" borderId="1" xfId="0" applyFont="1" applyBorder="1" applyAlignment="1">
      <alignment horizontal="center" vertical="top"/>
    </xf>
    <xf numFmtId="0" fontId="11" fillId="18" borderId="0" xfId="0" applyFont="1" applyFill="1" applyAlignment="1">
      <alignment horizontal="center" vertical="center"/>
    </xf>
    <xf numFmtId="0" fontId="14" fillId="19" borderId="0" xfId="0" applyFont="1" applyFill="1" applyAlignment="1">
      <alignment horizontal="center" vertical="center" wrapText="1"/>
    </xf>
    <xf numFmtId="0" fontId="12" fillId="0" borderId="0" xfId="0" applyFont="1"/>
    <xf numFmtId="0" fontId="14" fillId="20" borderId="0" xfId="0" applyFont="1" applyFill="1" applyAlignment="1">
      <alignment horizontal="center" vertical="center" wrapText="1"/>
    </xf>
    <xf numFmtId="0" fontId="15" fillId="0" borderId="0" xfId="0" applyFont="1" applyAlignment="1">
      <alignment vertical="top" wrapText="1"/>
    </xf>
    <xf numFmtId="0" fontId="3" fillId="4" borderId="0" xfId="0" applyFont="1" applyFill="1" applyAlignment="1">
      <alignment horizontal="center" vertical="center"/>
    </xf>
    <xf numFmtId="0" fontId="0" fillId="0" borderId="0" xfId="0"/>
    <xf numFmtId="0" fontId="11" fillId="17" borderId="0" xfId="0" applyFont="1" applyFill="1" applyAlignment="1">
      <alignment horizontal="center" vertical="center"/>
    </xf>
    <xf numFmtId="0" fontId="11" fillId="18" borderId="0" xfId="0" applyFont="1" applyFill="1" applyAlignment="1">
      <alignment horizontal="center" vertical="center"/>
    </xf>
    <xf numFmtId="0" fontId="3" fillId="3" borderId="0" xfId="0" applyFont="1" applyFill="1" applyAlignment="1">
      <alignment horizontal="center" vertical="center"/>
    </xf>
    <xf numFmtId="0" fontId="9" fillId="12" borderId="0" xfId="0" applyFont="1" applyFill="1" applyAlignment="1">
      <alignment horizontal="center" vertical="center"/>
    </xf>
    <xf numFmtId="0" fontId="10" fillId="4" borderId="0" xfId="0" applyFont="1" applyFill="1" applyAlignment="1">
      <alignment horizontal="center" vertical="center"/>
    </xf>
  </cellXfs>
  <cellStyles count="1">
    <cellStyle name="ปกติ" xfId="0" builtinId="0"/>
  </cellStyles>
  <dxfs count="4">
    <dxf>
      <font>
        <b/>
        <color rgb="FF913E0B"/>
      </font>
      <fill>
        <patternFill patternType="solid">
          <fgColor rgb="FFFFF1C5"/>
          <bgColor rgb="FFFFF1C5"/>
        </patternFill>
      </fill>
    </dxf>
    <dxf>
      <font>
        <b/>
        <color rgb="FF1E3EAE"/>
      </font>
      <fill>
        <patternFill patternType="solid">
          <fgColor rgb="FFDBEAFB"/>
          <bgColor rgb="FFDBEAFB"/>
        </patternFill>
      </fill>
    </dxf>
    <dxf>
      <font>
        <b/>
        <color rgb="FF156633"/>
      </font>
      <fill>
        <patternFill patternType="solid">
          <fgColor rgb="FFDBFBE4"/>
          <bgColor rgb="FFDBFBE4"/>
        </patternFill>
      </fill>
    </dxf>
    <dxf>
      <font>
        <b/>
        <color rgb="FF465368"/>
      </font>
      <fill>
        <patternFill patternType="solid">
          <fgColor rgb="FFF1F4F8"/>
          <bgColor rgb="FFF1F4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0</xdr:colOff>
      <xdr:row>2</xdr:row>
      <xdr:rowOff>0</xdr:rowOff>
    </xdr:from>
    <xdr:ext cx="238125" cy="200025"/>
    <xdr:pic>
      <xdr:nvPicPr>
        <xdr:cNvPr id="2" name="image1.png" title="รูปภาพ">
          <a:extLst>
            <a:ext uri="{FF2B5EF4-FFF2-40B4-BE49-F238E27FC236}">
              <a16:creationId xmlns:a16="http://schemas.microsoft.com/office/drawing/2014/main" id="{00000000-0008-0000-2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M38"/>
  <sheetViews>
    <sheetView workbookViewId="0"/>
  </sheetViews>
  <sheetFormatPr defaultColWidth="12.6640625" defaultRowHeight="15.75" customHeight="1" x14ac:dyDescent="0.25"/>
  <cols>
    <col min="5" max="5" width="44.21875" customWidth="1"/>
  </cols>
  <sheetData>
    <row r="1" spans="1:13" x14ac:dyDescent="0.25">
      <c r="A1" s="2" t="s">
        <v>27</v>
      </c>
      <c r="K1" s="2" t="s">
        <v>28</v>
      </c>
      <c r="L1" s="2" t="s">
        <v>29</v>
      </c>
      <c r="M1" s="2" t="s">
        <v>30</v>
      </c>
    </row>
    <row r="2" spans="1:13" x14ac:dyDescent="0.25">
      <c r="A2" s="2" t="s">
        <v>31</v>
      </c>
      <c r="B2" s="2" t="s">
        <v>32</v>
      </c>
      <c r="C2" s="2" t="s">
        <v>33</v>
      </c>
      <c r="D2" s="2" t="s">
        <v>34</v>
      </c>
      <c r="E2" s="2" t="s">
        <v>35</v>
      </c>
    </row>
    <row r="3" spans="1:13" x14ac:dyDescent="0.25">
      <c r="A3" s="2">
        <v>1</v>
      </c>
      <c r="B3" s="2" t="s">
        <v>36</v>
      </c>
      <c r="C3" s="2" t="s">
        <v>29</v>
      </c>
      <c r="D3" s="7" t="s">
        <v>37</v>
      </c>
      <c r="E3" s="2" t="s">
        <v>38</v>
      </c>
    </row>
    <row r="4" spans="1:13" x14ac:dyDescent="0.25">
      <c r="A4" s="2">
        <v>2</v>
      </c>
      <c r="B4" s="2" t="s">
        <v>39</v>
      </c>
      <c r="C4" s="2" t="s">
        <v>29</v>
      </c>
      <c r="D4" s="7" t="s">
        <v>37</v>
      </c>
      <c r="E4" s="2" t="s">
        <v>38</v>
      </c>
    </row>
    <row r="5" spans="1:13" x14ac:dyDescent="0.25">
      <c r="A5" s="2">
        <v>3</v>
      </c>
      <c r="B5" s="2" t="s">
        <v>40</v>
      </c>
      <c r="C5" s="2" t="s">
        <v>29</v>
      </c>
      <c r="D5" s="7" t="s">
        <v>37</v>
      </c>
      <c r="E5" s="2" t="s">
        <v>38</v>
      </c>
    </row>
    <row r="6" spans="1:13" x14ac:dyDescent="0.25">
      <c r="A6" s="2">
        <v>4</v>
      </c>
      <c r="B6" s="2" t="s">
        <v>41</v>
      </c>
      <c r="C6" s="2" t="s">
        <v>29</v>
      </c>
      <c r="D6" s="7" t="s">
        <v>37</v>
      </c>
      <c r="E6" s="2" t="s">
        <v>38</v>
      </c>
    </row>
    <row r="7" spans="1:13" x14ac:dyDescent="0.25">
      <c r="A7" s="2">
        <v>5</v>
      </c>
      <c r="B7" s="2" t="s">
        <v>42</v>
      </c>
      <c r="C7" s="2" t="s">
        <v>29</v>
      </c>
      <c r="D7" s="7" t="s">
        <v>37</v>
      </c>
      <c r="E7" s="2" t="s">
        <v>38</v>
      </c>
    </row>
    <row r="8" spans="1:13" x14ac:dyDescent="0.25">
      <c r="A8" s="2">
        <v>6</v>
      </c>
      <c r="B8" s="2" t="s">
        <v>43</v>
      </c>
      <c r="C8" s="2" t="s">
        <v>29</v>
      </c>
      <c r="D8" s="7" t="s">
        <v>37</v>
      </c>
      <c r="E8" s="2" t="s">
        <v>38</v>
      </c>
    </row>
    <row r="9" spans="1:13" x14ac:dyDescent="0.25">
      <c r="A9" s="2">
        <v>7</v>
      </c>
      <c r="B9" s="2" t="s">
        <v>44</v>
      </c>
      <c r="C9" s="2" t="s">
        <v>29</v>
      </c>
      <c r="D9" s="7" t="s">
        <v>37</v>
      </c>
      <c r="E9" s="2" t="s">
        <v>38</v>
      </c>
    </row>
    <row r="10" spans="1:13" x14ac:dyDescent="0.25">
      <c r="A10" s="2">
        <v>8</v>
      </c>
      <c r="B10" s="2" t="s">
        <v>45</v>
      </c>
      <c r="C10" s="2" t="s">
        <v>29</v>
      </c>
      <c r="D10" s="7" t="s">
        <v>37</v>
      </c>
      <c r="E10" s="2" t="s">
        <v>38</v>
      </c>
    </row>
    <row r="11" spans="1:13" x14ac:dyDescent="0.25">
      <c r="A11" s="2">
        <v>9</v>
      </c>
      <c r="B11" s="2" t="s">
        <v>46</v>
      </c>
      <c r="C11" s="2" t="s">
        <v>29</v>
      </c>
      <c r="D11" s="7" t="s">
        <v>37</v>
      </c>
      <c r="E11" s="2" t="s">
        <v>38</v>
      </c>
    </row>
    <row r="12" spans="1:13" x14ac:dyDescent="0.25">
      <c r="A12" s="2">
        <v>10</v>
      </c>
      <c r="B12" s="2" t="s">
        <v>47</v>
      </c>
      <c r="C12" s="2" t="s">
        <v>29</v>
      </c>
      <c r="D12" s="7" t="s">
        <v>37</v>
      </c>
      <c r="E12" s="2" t="s">
        <v>38</v>
      </c>
    </row>
    <row r="13" spans="1:13" x14ac:dyDescent="0.25">
      <c r="A13" s="2">
        <v>11</v>
      </c>
      <c r="B13" s="2" t="s">
        <v>48</v>
      </c>
      <c r="C13" s="2" t="s">
        <v>29</v>
      </c>
      <c r="D13" s="7" t="s">
        <v>37</v>
      </c>
      <c r="E13" s="2" t="s">
        <v>38</v>
      </c>
    </row>
    <row r="14" spans="1:13" x14ac:dyDescent="0.25">
      <c r="A14" s="2">
        <v>12</v>
      </c>
      <c r="B14" s="2" t="s">
        <v>49</v>
      </c>
      <c r="C14" s="2" t="s">
        <v>29</v>
      </c>
      <c r="D14" s="7" t="s">
        <v>37</v>
      </c>
      <c r="E14" s="2" t="s">
        <v>38</v>
      </c>
    </row>
    <row r="15" spans="1:13" x14ac:dyDescent="0.25">
      <c r="A15" s="2">
        <v>13</v>
      </c>
      <c r="B15" s="2" t="s">
        <v>50</v>
      </c>
      <c r="C15" s="2" t="s">
        <v>29</v>
      </c>
      <c r="D15" s="7" t="s">
        <v>37</v>
      </c>
      <c r="E15" s="2" t="s">
        <v>38</v>
      </c>
    </row>
    <row r="16" spans="1:13" x14ac:dyDescent="0.25">
      <c r="A16" s="2">
        <v>14</v>
      </c>
      <c r="B16" s="2" t="s">
        <v>51</v>
      </c>
      <c r="C16" s="2" t="s">
        <v>29</v>
      </c>
      <c r="D16" s="7" t="s">
        <v>37</v>
      </c>
      <c r="E16" s="2" t="s">
        <v>38</v>
      </c>
    </row>
    <row r="17" spans="1:5" x14ac:dyDescent="0.25">
      <c r="A17" s="2">
        <v>15</v>
      </c>
      <c r="B17" s="2" t="s">
        <v>52</v>
      </c>
      <c r="C17" s="2" t="s">
        <v>29</v>
      </c>
      <c r="D17" s="7" t="s">
        <v>37</v>
      </c>
      <c r="E17" s="2" t="s">
        <v>38</v>
      </c>
    </row>
    <row r="18" spans="1:5" x14ac:dyDescent="0.25">
      <c r="A18" s="2">
        <v>16</v>
      </c>
      <c r="B18" s="2" t="s">
        <v>53</v>
      </c>
      <c r="C18" s="2" t="s">
        <v>29</v>
      </c>
      <c r="D18" s="7" t="s">
        <v>37</v>
      </c>
      <c r="E18" s="2" t="s">
        <v>38</v>
      </c>
    </row>
    <row r="20" spans="1:5" x14ac:dyDescent="0.25">
      <c r="A20" s="2" t="s">
        <v>54</v>
      </c>
    </row>
    <row r="21" spans="1:5" x14ac:dyDescent="0.25">
      <c r="A21" s="2" t="s">
        <v>31</v>
      </c>
      <c r="B21" s="2" t="s">
        <v>55</v>
      </c>
      <c r="C21" s="2" t="s">
        <v>33</v>
      </c>
      <c r="D21" s="2" t="s">
        <v>34</v>
      </c>
      <c r="E21" s="2" t="s">
        <v>35</v>
      </c>
    </row>
    <row r="22" spans="1:5" x14ac:dyDescent="0.25">
      <c r="A22" s="2">
        <v>1</v>
      </c>
      <c r="B22" s="2" t="s">
        <v>56</v>
      </c>
      <c r="C22" s="2" t="s">
        <v>9</v>
      </c>
      <c r="D22" s="7" t="s">
        <v>37</v>
      </c>
      <c r="E22" s="2" t="s">
        <v>57</v>
      </c>
    </row>
    <row r="23" spans="1:5" x14ac:dyDescent="0.25">
      <c r="A23" s="2">
        <v>2</v>
      </c>
      <c r="B23" s="2" t="s">
        <v>58</v>
      </c>
      <c r="C23" s="2" t="s">
        <v>9</v>
      </c>
      <c r="D23" s="7" t="s">
        <v>37</v>
      </c>
      <c r="E23" s="2" t="s">
        <v>57</v>
      </c>
    </row>
    <row r="24" spans="1:5" x14ac:dyDescent="0.25">
      <c r="A24" s="2">
        <v>3</v>
      </c>
      <c r="B24" s="2" t="s">
        <v>59</v>
      </c>
      <c r="C24" s="2" t="s">
        <v>9</v>
      </c>
      <c r="D24" s="7" t="s">
        <v>37</v>
      </c>
      <c r="E24" s="2" t="s">
        <v>57</v>
      </c>
    </row>
    <row r="25" spans="1:5" x14ac:dyDescent="0.25">
      <c r="A25" s="2">
        <v>4</v>
      </c>
      <c r="B25" s="2" t="s">
        <v>60</v>
      </c>
      <c r="C25" s="2" t="s">
        <v>9</v>
      </c>
      <c r="D25" s="7" t="s">
        <v>37</v>
      </c>
      <c r="E25" s="2" t="s">
        <v>57</v>
      </c>
    </row>
    <row r="26" spans="1:5" x14ac:dyDescent="0.25">
      <c r="A26" s="2">
        <v>5</v>
      </c>
      <c r="B26" s="2" t="s">
        <v>61</v>
      </c>
      <c r="C26" s="2" t="s">
        <v>9</v>
      </c>
      <c r="D26" s="7" t="s">
        <v>37</v>
      </c>
      <c r="E26" s="2" t="s">
        <v>57</v>
      </c>
    </row>
    <row r="27" spans="1:5" x14ac:dyDescent="0.25">
      <c r="A27" s="2">
        <v>6</v>
      </c>
      <c r="B27" s="2" t="s">
        <v>62</v>
      </c>
      <c r="C27" s="2" t="s">
        <v>9</v>
      </c>
      <c r="D27" s="7" t="s">
        <v>37</v>
      </c>
      <c r="E27" s="2" t="s">
        <v>57</v>
      </c>
    </row>
    <row r="28" spans="1:5" x14ac:dyDescent="0.25">
      <c r="A28" s="2">
        <v>7</v>
      </c>
      <c r="B28" s="2" t="s">
        <v>63</v>
      </c>
      <c r="C28" s="2" t="s">
        <v>9</v>
      </c>
      <c r="D28" s="7" t="s">
        <v>37</v>
      </c>
      <c r="E28" s="2" t="s">
        <v>57</v>
      </c>
    </row>
    <row r="29" spans="1:5" x14ac:dyDescent="0.25">
      <c r="A29" s="2">
        <v>8</v>
      </c>
      <c r="B29" s="2" t="s">
        <v>64</v>
      </c>
      <c r="C29" s="2" t="s">
        <v>9</v>
      </c>
      <c r="D29" s="7" t="s">
        <v>37</v>
      </c>
      <c r="E29" s="2" t="s">
        <v>57</v>
      </c>
    </row>
    <row r="30" spans="1:5" x14ac:dyDescent="0.25">
      <c r="A30" s="2">
        <v>9</v>
      </c>
      <c r="B30" s="2" t="s">
        <v>65</v>
      </c>
      <c r="C30" s="2" t="s">
        <v>9</v>
      </c>
      <c r="D30" s="7" t="s">
        <v>37</v>
      </c>
      <c r="E30" s="2" t="s">
        <v>57</v>
      </c>
    </row>
    <row r="31" spans="1:5" x14ac:dyDescent="0.25">
      <c r="A31" s="2">
        <v>10</v>
      </c>
      <c r="B31" s="2" t="s">
        <v>66</v>
      </c>
      <c r="C31" s="2" t="s">
        <v>9</v>
      </c>
      <c r="D31" s="7" t="s">
        <v>37</v>
      </c>
      <c r="E31" s="2" t="s">
        <v>57</v>
      </c>
    </row>
    <row r="32" spans="1:5" x14ac:dyDescent="0.25">
      <c r="A32" s="2">
        <v>11</v>
      </c>
      <c r="B32" s="2" t="s">
        <v>67</v>
      </c>
      <c r="C32" s="2" t="s">
        <v>9</v>
      </c>
      <c r="D32" s="7" t="s">
        <v>37</v>
      </c>
      <c r="E32" s="2" t="s">
        <v>57</v>
      </c>
    </row>
    <row r="33" spans="1:5" x14ac:dyDescent="0.25">
      <c r="A33" s="2">
        <v>12</v>
      </c>
      <c r="B33" s="2" t="s">
        <v>68</v>
      </c>
      <c r="C33" s="2" t="s">
        <v>9</v>
      </c>
      <c r="D33" s="7" t="s">
        <v>37</v>
      </c>
      <c r="E33" s="2" t="s">
        <v>57</v>
      </c>
    </row>
    <row r="35" spans="1:5" x14ac:dyDescent="0.25">
      <c r="A35" s="2" t="s">
        <v>69</v>
      </c>
    </row>
    <row r="36" spans="1:5" x14ac:dyDescent="0.25">
      <c r="A36" s="2" t="s">
        <v>31</v>
      </c>
      <c r="B36" s="2" t="s">
        <v>70</v>
      </c>
      <c r="C36" s="2" t="s">
        <v>33</v>
      </c>
      <c r="D36" s="2" t="s">
        <v>34</v>
      </c>
      <c r="E36" s="2" t="s">
        <v>35</v>
      </c>
    </row>
    <row r="37" spans="1:5" x14ac:dyDescent="0.25">
      <c r="A37" s="2">
        <v>1</v>
      </c>
      <c r="B37" s="2" t="s">
        <v>71</v>
      </c>
      <c r="C37" s="2" t="s">
        <v>72</v>
      </c>
      <c r="D37" s="7" t="s">
        <v>37</v>
      </c>
      <c r="E37" s="2" t="s">
        <v>73</v>
      </c>
    </row>
    <row r="38" spans="1:5" x14ac:dyDescent="0.25">
      <c r="A38" s="2">
        <v>2</v>
      </c>
      <c r="B38" s="2" t="s">
        <v>74</v>
      </c>
      <c r="C38" s="2" t="s">
        <v>72</v>
      </c>
      <c r="D38" s="7" t="s">
        <v>37</v>
      </c>
      <c r="E38" s="2" t="s">
        <v>73</v>
      </c>
    </row>
  </sheetData>
  <hyperlinks>
    <hyperlink ref="D3" location="'1. Musculoskeleton'!A1" display="➡️ เปิดหน้าข้อสอบ" xr:uid="{00000000-0004-0000-0000-000000000000}"/>
    <hyperlink ref="D4" location="'2. Cardiovascular'!A1" display="➡️ เปิดหน้าข้อสอบ" xr:uid="{00000000-0004-0000-0000-000001000000}"/>
    <hyperlink ref="D5" location="'3. Dermatologic'!A1" display="➡️ เปิดหน้าข้อสอบ" xr:uid="{00000000-0004-0000-0000-000002000000}"/>
    <hyperlink ref="D6" location="'4. Endocrine'!A1" display="➡️ เปิดหน้าข้อสอบ" xr:uid="{00000000-0004-0000-0000-000003000000}"/>
    <hyperlink ref="D7" location="'5. Gastrointestinal'!A1" display="➡️ เปิดหน้าข้อสอบ" xr:uid="{00000000-0004-0000-0000-000004000000}"/>
    <hyperlink ref="D8" location="'6. Hematologic'!A1" display="➡️ เปิดหน้าข้อสอบ" xr:uid="{00000000-0004-0000-0000-000005000000}"/>
    <hyperlink ref="D9" location="'7. Immunologic'!A1" display="➡️ เปิดหน้าข้อสอบ" xr:uid="{00000000-0004-0000-0000-000006000000}"/>
    <hyperlink ref="D10" location="'8. Infectious diseases'!A1" display="➡️ เปิดหน้าข้อสอบ" xr:uid="{00000000-0004-0000-0000-000007000000}"/>
    <hyperlink ref="D11" location="'9. Neurologic'!A1" display="➡️ เปิดหน้าข้อสอบ" xr:uid="{00000000-0004-0000-0000-000008000000}"/>
    <hyperlink ref="D12" location="'10. Psychiatric'!A1" display="➡️ เปิดหน้าข้อสอบ" xr:uid="{00000000-0004-0000-0000-000009000000}"/>
    <hyperlink ref="D13" location="'11. Pulmonary'!A1" display="➡️ เปิดหน้าข้อสอบ" xr:uid="{00000000-0004-0000-0000-00000A000000}"/>
    <hyperlink ref="D14" location="'12. GynaecologicGenitourinary'!A1" display="➡️ เปิดหน้าข้อสอบ" xr:uid="{00000000-0004-0000-0000-00000B000000}"/>
    <hyperlink ref="D15" location="'13. Eye disorder'!A1" display="➡️ เปิดหน้าข้อสอบ" xr:uid="{00000000-0004-0000-0000-00000C000000}"/>
    <hyperlink ref="D16" location="'14. Oncologic'!A1" display="➡️ เปิดหน้าข้อสอบ" xr:uid="{00000000-0004-0000-0000-00000D000000}"/>
    <hyperlink ref="D17" location="'15. Renal'!A1" display="➡️ เปิดหน้าข้อสอบ" xr:uid="{00000000-0004-0000-0000-00000E000000}"/>
    <hyperlink ref="D18" location="'16. Others &amp; Toxic'!A1" display="➡️ เปิดหน้าข้อสอบ" xr:uid="{00000000-0004-0000-0000-00000F000000}"/>
    <hyperlink ref="D22" location="'1. Titrations'!A1" display="➡️ เปิดหน้าข้อสอบ" xr:uid="{00000000-0004-0000-0000-000010000000}"/>
    <hyperlink ref="D23" location="'2. Chromatography'!A1" display="➡️ เปิดหน้าข้อสอบ" xr:uid="{00000000-0004-0000-0000-000011000000}"/>
    <hyperlink ref="D24" location="'3. Spectroscopy &amp; Optics'!A1" display="➡️ เปิดหน้าข้อสอบ" xr:uid="{00000000-0004-0000-0000-000012000000}"/>
    <hyperlink ref="D25" location="'4. Preformulation &amp; GMP'!A1" display="➡️ เปิดหน้าข้อสอบ" xr:uid="{00000000-0004-0000-0000-000013000000}"/>
    <hyperlink ref="D26" location="'5. Pharmaceutical Calc'!A1" display="➡️ เปิดหน้าข้อสอบ" xr:uid="{00000000-0004-0000-0000-000014000000}"/>
    <hyperlink ref="D27" location="'6. Solid Dosage Forms'!A1" display="➡️ เปิดหน้าข้อสอบ" xr:uid="{00000000-0004-0000-0000-000015000000}"/>
    <hyperlink ref="D28" location="'7. Liquid &amp; Semisolids'!A1" display="➡️ เปิดหน้าข้อสอบ" xr:uid="{00000000-0004-0000-0000-000016000000}"/>
    <hyperlink ref="D29" location="'8. Biopharm &amp; Drug Release'!A1" display="➡️ เปิดหน้าข้อสอบ" xr:uid="{00000000-0004-0000-0000-000017000000}"/>
    <hyperlink ref="D30" location="'9. Sterile &amp; Special Forms'!A1" display="➡️ เปิดหน้าข้อสอบ" xr:uid="{00000000-0004-0000-0000-000018000000}"/>
    <hyperlink ref="D31" location="'10. Biotech Products'!A1" display="➡️ เปิดหน้าข้อสอบ" xr:uid="{00000000-0004-0000-0000-000019000000}"/>
    <hyperlink ref="D32" location="'11. Herbal Products'!A1" display="➡️ เปิดหน้าข้อสอบ" xr:uid="{00000000-0004-0000-0000-00001A000000}"/>
    <hyperlink ref="D33" location="'12. Food Products &amp; QA'!A1" display="➡️ เปิดหน้าข้อสอบ" xr:uid="{00000000-0004-0000-0000-00001B000000}"/>
    <hyperlink ref="D37" location="'1. Pharmacy Laws &amp; Ethics'!A1" display="➡️ เปิดหน้าข้อสอบ" xr:uid="{00000000-0004-0000-0000-00001C000000}"/>
    <hyperlink ref="D38" location="'2. Pharmacy Administration &amp; Sy'!A1" display="➡️ เปิดหน้าข้อสอบ" xr:uid="{00000000-0004-0000-0000-00001D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8"/>
  <sheetViews>
    <sheetView workbookViewId="0">
      <pane ySplit="2" topLeftCell="A3" activePane="bottomLeft" state="frozen"/>
      <selection pane="bottomLeft"/>
    </sheetView>
  </sheetViews>
  <sheetFormatPr defaultRowHeight="13.2" x14ac:dyDescent="0.25"/>
  <cols>
    <col min="1" max="1" width="8" customWidth="1"/>
    <col min="2" max="2" width="45" customWidth="1"/>
    <col min="3" max="3" width="15" customWidth="1"/>
    <col min="4" max="8" width="22" customWidth="1"/>
    <col min="9" max="9" width="12" customWidth="1"/>
    <col min="10" max="10" width="50" customWidth="1"/>
    <col min="11" max="11" width="15" customWidth="1"/>
    <col min="12" max="12" width="22" customWidth="1"/>
    <col min="13" max="15" width="18" customWidth="1"/>
    <col min="16" max="16" width="22" customWidth="1"/>
    <col min="17" max="17" width="28" customWidth="1"/>
  </cols>
  <sheetData>
    <row r="1" spans="1:17" ht="36" customHeight="1" x14ac:dyDescent="0.25">
      <c r="A1" s="50" t="str">
        <f>HYPERLINK("#'สารบัญ'!A1", "🏠 กลับสู่หน้าแรก (Go to Home Page)")</f>
        <v>🏠 กลับสู่หน้าแรก (Go to Home Page)</v>
      </c>
      <c r="B1" s="49"/>
      <c r="C1" s="49"/>
      <c r="D1" s="49"/>
      <c r="E1" s="49"/>
      <c r="F1" s="49"/>
      <c r="G1" s="49"/>
      <c r="H1" s="49"/>
      <c r="I1" s="49"/>
      <c r="J1" s="49"/>
      <c r="K1" s="49"/>
      <c r="L1" s="49"/>
      <c r="M1" s="49"/>
      <c r="N1" s="49"/>
      <c r="O1" s="49"/>
      <c r="P1" s="49"/>
      <c r="Q1" s="49"/>
    </row>
    <row r="2" spans="1:17" ht="37.950000000000003" customHeight="1" x14ac:dyDescent="0.25">
      <c r="A2" s="46" t="s">
        <v>10</v>
      </c>
      <c r="B2" s="46" t="s">
        <v>11</v>
      </c>
      <c r="C2" s="46" t="s">
        <v>12</v>
      </c>
      <c r="D2" s="46" t="s">
        <v>75</v>
      </c>
      <c r="E2" s="46" t="s">
        <v>76</v>
      </c>
      <c r="F2" s="46" t="s">
        <v>77</v>
      </c>
      <c r="G2" s="46" t="s">
        <v>78</v>
      </c>
      <c r="H2" s="46" t="s">
        <v>79</v>
      </c>
      <c r="I2" s="46" t="s">
        <v>80</v>
      </c>
      <c r="J2" s="46" t="s">
        <v>19</v>
      </c>
      <c r="K2" s="46" t="s">
        <v>20</v>
      </c>
      <c r="L2" s="46" t="s">
        <v>81</v>
      </c>
      <c r="M2" s="46" t="s">
        <v>82</v>
      </c>
      <c r="N2" s="46" t="s">
        <v>23</v>
      </c>
      <c r="O2" s="46" t="s">
        <v>24</v>
      </c>
      <c r="P2" s="46" t="s">
        <v>25</v>
      </c>
      <c r="Q2" s="46" t="s">
        <v>83</v>
      </c>
    </row>
    <row r="3" spans="1:17" ht="28.05" customHeight="1" x14ac:dyDescent="0.25">
      <c r="A3" s="47" t="s">
        <v>84</v>
      </c>
      <c r="B3" s="47" t="s">
        <v>85</v>
      </c>
      <c r="C3" s="47"/>
      <c r="D3" s="47" t="s">
        <v>86</v>
      </c>
      <c r="E3" s="47" t="s">
        <v>87</v>
      </c>
      <c r="F3" s="47" t="s">
        <v>88</v>
      </c>
      <c r="G3" s="47" t="s">
        <v>89</v>
      </c>
      <c r="H3" s="47"/>
      <c r="I3" s="47" t="s">
        <v>90</v>
      </c>
      <c r="J3" s="47" t="s">
        <v>91</v>
      </c>
      <c r="K3" s="47"/>
      <c r="L3" s="47" t="s">
        <v>92</v>
      </c>
      <c r="M3" s="47" t="s">
        <v>29</v>
      </c>
      <c r="N3" s="47" t="s">
        <v>93</v>
      </c>
      <c r="O3" s="47" t="s">
        <v>94</v>
      </c>
      <c r="P3" s="47" t="s">
        <v>95</v>
      </c>
      <c r="Q3" s="47" t="s">
        <v>36</v>
      </c>
    </row>
    <row r="4" spans="1:17" ht="28.05" customHeight="1" x14ac:dyDescent="0.25">
      <c r="A4" s="47" t="s">
        <v>96</v>
      </c>
      <c r="B4" s="47" t="s">
        <v>97</v>
      </c>
      <c r="C4" s="47"/>
      <c r="D4" s="47" t="s">
        <v>98</v>
      </c>
      <c r="E4" s="47" t="s">
        <v>99</v>
      </c>
      <c r="F4" s="47" t="s">
        <v>100</v>
      </c>
      <c r="G4" s="47" t="s">
        <v>101</v>
      </c>
      <c r="H4" s="47" t="s">
        <v>102</v>
      </c>
      <c r="I4" s="47" t="s">
        <v>90</v>
      </c>
      <c r="J4" s="47" t="s">
        <v>103</v>
      </c>
      <c r="K4" s="47"/>
      <c r="L4" s="47" t="s">
        <v>104</v>
      </c>
      <c r="M4" s="47" t="s">
        <v>29</v>
      </c>
      <c r="N4" s="47" t="s">
        <v>93</v>
      </c>
      <c r="O4" s="47" t="s">
        <v>94</v>
      </c>
      <c r="P4" s="47" t="s">
        <v>95</v>
      </c>
      <c r="Q4" s="47" t="s">
        <v>39</v>
      </c>
    </row>
    <row r="5" spans="1:17" ht="28.05" customHeight="1" x14ac:dyDescent="0.25">
      <c r="A5" s="47" t="s">
        <v>90</v>
      </c>
      <c r="B5" s="47" t="s">
        <v>105</v>
      </c>
      <c r="C5" s="47"/>
      <c r="D5" s="47" t="s">
        <v>106</v>
      </c>
      <c r="E5" s="47" t="s">
        <v>107</v>
      </c>
      <c r="F5" s="47" t="s">
        <v>108</v>
      </c>
      <c r="G5" s="47" t="s">
        <v>109</v>
      </c>
      <c r="H5" s="47" t="s">
        <v>110</v>
      </c>
      <c r="I5" s="47" t="s">
        <v>96</v>
      </c>
      <c r="J5" s="47" t="s">
        <v>111</v>
      </c>
      <c r="K5" s="47"/>
      <c r="L5" s="47" t="s">
        <v>112</v>
      </c>
      <c r="M5" s="47" t="s">
        <v>29</v>
      </c>
      <c r="N5" s="47" t="s">
        <v>93</v>
      </c>
      <c r="O5" s="47" t="s">
        <v>94</v>
      </c>
      <c r="P5" s="47" t="s">
        <v>95</v>
      </c>
      <c r="Q5" s="47" t="s">
        <v>41</v>
      </c>
    </row>
    <row r="6" spans="1:17" ht="28.05" customHeight="1" x14ac:dyDescent="0.25">
      <c r="A6" s="47" t="s">
        <v>113</v>
      </c>
      <c r="B6" s="47" t="s">
        <v>114</v>
      </c>
      <c r="C6" s="47"/>
      <c r="D6" s="47" t="s">
        <v>115</v>
      </c>
      <c r="E6" s="47" t="s">
        <v>116</v>
      </c>
      <c r="F6" s="47" t="s">
        <v>117</v>
      </c>
      <c r="G6" s="47" t="s">
        <v>118</v>
      </c>
      <c r="H6" s="47" t="s">
        <v>119</v>
      </c>
      <c r="I6" s="47" t="s">
        <v>90</v>
      </c>
      <c r="J6" s="47" t="s">
        <v>120</v>
      </c>
      <c r="K6" s="47"/>
      <c r="L6" s="47" t="s">
        <v>121</v>
      </c>
      <c r="M6" s="47" t="s">
        <v>29</v>
      </c>
      <c r="N6" s="47" t="s">
        <v>93</v>
      </c>
      <c r="O6" s="47" t="s">
        <v>94</v>
      </c>
      <c r="P6" s="47" t="s">
        <v>95</v>
      </c>
      <c r="Q6" s="47" t="s">
        <v>122</v>
      </c>
    </row>
    <row r="7" spans="1:17" ht="28.05" customHeight="1" x14ac:dyDescent="0.25">
      <c r="A7" s="47" t="s">
        <v>123</v>
      </c>
      <c r="B7" s="47" t="s">
        <v>124</v>
      </c>
      <c r="C7" s="47"/>
      <c r="D7" s="47" t="s">
        <v>125</v>
      </c>
      <c r="E7" s="47" t="s">
        <v>126</v>
      </c>
      <c r="F7" s="47" t="s">
        <v>127</v>
      </c>
      <c r="G7" s="47" t="s">
        <v>128</v>
      </c>
      <c r="H7" s="47" t="s">
        <v>129</v>
      </c>
      <c r="I7" s="47" t="s">
        <v>90</v>
      </c>
      <c r="J7" s="47" t="s">
        <v>130</v>
      </c>
      <c r="K7" s="47"/>
      <c r="L7" s="47" t="s">
        <v>131</v>
      </c>
      <c r="M7" s="47" t="s">
        <v>9</v>
      </c>
      <c r="N7" s="47" t="s">
        <v>93</v>
      </c>
      <c r="O7" s="47" t="s">
        <v>94</v>
      </c>
      <c r="P7" s="47" t="s">
        <v>95</v>
      </c>
      <c r="Q7" s="47" t="s">
        <v>62</v>
      </c>
    </row>
    <row r="8" spans="1:17" ht="28.05" customHeight="1" x14ac:dyDescent="0.25">
      <c r="A8" s="47" t="s">
        <v>132</v>
      </c>
      <c r="B8" s="47" t="s">
        <v>133</v>
      </c>
      <c r="C8" s="47"/>
      <c r="D8" s="47" t="s">
        <v>134</v>
      </c>
      <c r="E8" s="47" t="s">
        <v>135</v>
      </c>
      <c r="F8" s="47" t="s">
        <v>136</v>
      </c>
      <c r="G8" s="47" t="s">
        <v>137</v>
      </c>
      <c r="H8" s="47" t="s">
        <v>138</v>
      </c>
      <c r="I8" s="47" t="s">
        <v>90</v>
      </c>
      <c r="J8" s="47" t="s">
        <v>139</v>
      </c>
      <c r="K8" s="47"/>
      <c r="L8" s="47" t="s">
        <v>140</v>
      </c>
      <c r="M8" s="47" t="s">
        <v>29</v>
      </c>
      <c r="N8" s="47" t="s">
        <v>93</v>
      </c>
      <c r="O8" s="47" t="s">
        <v>94</v>
      </c>
      <c r="P8" s="47" t="s">
        <v>95</v>
      </c>
      <c r="Q8" s="47" t="s">
        <v>47</v>
      </c>
    </row>
  </sheetData>
  <mergeCells count="1">
    <mergeCell ref="A1:Q1"/>
  </mergeCells>
  <dataValidations count="3">
    <dataValidation type="list" allowBlank="1" sqref="I3:I300" xr:uid="{00000000-0002-0000-0100-000000000000}">
      <formula1>"1,2,3,4,5"</formula1>
    </dataValidation>
    <dataValidation type="list" allowBlank="1" sqref="M3:M300" xr:uid="{00000000-0002-0000-0100-000001000000}">
      <formula1>"Clinic,Product,SAP"</formula1>
    </dataValidation>
    <dataValidation type="list" allowBlank="1" sqref="O3:O300" xr:uid="{00000000-0002-0000-0100-000002000000}">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3"/>
  <sheetViews>
    <sheetView workbookViewId="0">
      <pane ySplit="1" topLeftCell="A2" activePane="bottomLeft" state="frozen"/>
      <selection pane="bottomLeft" activeCell="B3" sqref="B3"/>
    </sheetView>
  </sheetViews>
  <sheetFormatPr defaultColWidth="12.6640625" defaultRowHeight="15.75" customHeight="1" x14ac:dyDescent="0.25"/>
  <sheetData>
    <row r="1" spans="1:7" x14ac:dyDescent="0.25">
      <c r="A1" s="1" t="s">
        <v>141</v>
      </c>
      <c r="B1" s="1" t="s">
        <v>142</v>
      </c>
      <c r="C1" s="1" t="s">
        <v>143</v>
      </c>
      <c r="D1" s="1" t="s">
        <v>144</v>
      </c>
      <c r="E1" s="1" t="s">
        <v>145</v>
      </c>
      <c r="F1" s="1" t="s">
        <v>146</v>
      </c>
      <c r="G1" s="1" t="s">
        <v>147</v>
      </c>
    </row>
    <row r="2" spans="1:7" x14ac:dyDescent="0.25">
      <c r="A2" s="2" t="s">
        <v>148</v>
      </c>
      <c r="B2" s="2" t="s">
        <v>149</v>
      </c>
      <c r="C2" s="2" t="s">
        <v>150</v>
      </c>
      <c r="D2" s="2">
        <v>4</v>
      </c>
      <c r="E2" s="2">
        <v>20</v>
      </c>
      <c r="F2" s="4">
        <v>0.2</v>
      </c>
      <c r="G2" s="2">
        <v>0</v>
      </c>
    </row>
    <row r="3" spans="1:7" x14ac:dyDescent="0.25">
      <c r="A3" s="2" t="s">
        <v>151</v>
      </c>
      <c r="B3" s="2" t="s">
        <v>152</v>
      </c>
      <c r="C3" s="2" t="s">
        <v>153</v>
      </c>
      <c r="D3" s="2">
        <v>15</v>
      </c>
      <c r="E3" s="2">
        <v>23</v>
      </c>
      <c r="F3" s="4">
        <v>0.65</v>
      </c>
      <c r="G3" s="2">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196F2"/>
    <outlinePr summaryBelow="0" summaryRight="0"/>
  </sheetPr>
  <dimension ref="A1:Q101"/>
  <sheetViews>
    <sheetView workbookViewId="0">
      <selection activeCell="D10" sqref="D10"/>
    </sheetView>
  </sheetViews>
  <sheetFormatPr defaultColWidth="12.6640625" defaultRowHeight="15.75" customHeight="1" x14ac:dyDescent="0.25"/>
  <cols>
    <col min="3" max="3" width="23.44140625" customWidth="1"/>
    <col min="4" max="4" width="32.21875" customWidth="1"/>
    <col min="5" max="5" width="16.109375" customWidth="1"/>
  </cols>
  <sheetData>
    <row r="1" spans="1:17" ht="27" customHeight="1" x14ac:dyDescent="0.25">
      <c r="A1" s="48" t="str">
        <f>HYPERLINK("#gid=0", "🏠 กลับสู่หน้าแรก (Go to Home Page)")</f>
        <v>🏠 กลับสู่หน้าแรก (Go to Home Page)</v>
      </c>
      <c r="B1" s="49"/>
      <c r="C1" s="49"/>
      <c r="D1" s="49"/>
      <c r="E1" s="49"/>
      <c r="F1" s="49"/>
      <c r="G1" s="49"/>
      <c r="H1" s="49"/>
      <c r="I1" s="49"/>
      <c r="J1" s="49"/>
      <c r="K1" s="49"/>
      <c r="L1" s="49"/>
      <c r="M1" s="49"/>
      <c r="N1" s="49"/>
      <c r="O1" s="49"/>
      <c r="P1" s="49"/>
      <c r="Q1" s="49"/>
    </row>
    <row r="2" spans="1:17" ht="21.6" customHeight="1" x14ac:dyDescent="0.25">
      <c r="A2" s="5" t="s">
        <v>0</v>
      </c>
      <c r="B2" s="5" t="s">
        <v>1</v>
      </c>
      <c r="C2" s="5" t="s">
        <v>2</v>
      </c>
      <c r="D2" s="5" t="s">
        <v>3</v>
      </c>
      <c r="E2" s="5" t="s">
        <v>4</v>
      </c>
      <c r="F2" s="5" t="s">
        <v>5</v>
      </c>
    </row>
    <row r="3" spans="1:17" ht="21.6" customHeight="1" x14ac:dyDescent="0.25">
      <c r="A3" s="6" t="s">
        <v>6</v>
      </c>
      <c r="B3" s="6" t="s">
        <v>7</v>
      </c>
      <c r="C3" s="6" t="s">
        <v>8</v>
      </c>
      <c r="D3" s="6" t="s">
        <v>9</v>
      </c>
      <c r="E3" s="6"/>
      <c r="F3" s="6">
        <f ca="1">COUNTA(A6:A11000)</f>
        <v>96</v>
      </c>
    </row>
    <row r="5" spans="1:17" ht="21.6" customHeight="1" x14ac:dyDescent="0.25">
      <c r="A5" s="9" t="s">
        <v>10</v>
      </c>
      <c r="B5" s="9" t="s">
        <v>11</v>
      </c>
      <c r="C5" s="9" t="s">
        <v>12</v>
      </c>
      <c r="D5" s="9" t="s">
        <v>13</v>
      </c>
      <c r="E5" s="9" t="s">
        <v>14</v>
      </c>
      <c r="F5" s="9" t="s">
        <v>15</v>
      </c>
      <c r="G5" s="9" t="s">
        <v>16</v>
      </c>
      <c r="H5" s="9" t="s">
        <v>17</v>
      </c>
      <c r="I5" s="9" t="s">
        <v>18</v>
      </c>
      <c r="J5" s="9" t="s">
        <v>19</v>
      </c>
      <c r="K5" s="9" t="s">
        <v>20</v>
      </c>
      <c r="L5" s="9" t="s">
        <v>21</v>
      </c>
      <c r="M5" s="9" t="s">
        <v>22</v>
      </c>
      <c r="N5" s="9" t="s">
        <v>23</v>
      </c>
      <c r="O5" s="9" t="s">
        <v>24</v>
      </c>
      <c r="P5" s="9" t="s">
        <v>25</v>
      </c>
      <c r="Q5" s="9" t="s">
        <v>26</v>
      </c>
    </row>
    <row r="6" spans="1:17" ht="13.2" customHeight="1" x14ac:dyDescent="0.25">
      <c r="A6" s="2" t="str">
        <f ca="1">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7</v>
      </c>
      <c r="B6" s="2" t="str">
        <f ca="1">IFERROR(__xludf.DUMMYFUNCTION("""COMPUTED_VALUE"""),"ในการเตรียม Aspirin Suspension หากต้องการเติมสารบัฟเฟอร์ ปรับ pH ให้มี pH เท่ากับ 6.8 ภก.ควรจะใช้บัฟเฟอร์ใด")</f>
        <v>ในการเตรียม Aspirin Suspension หากต้องการเติมสารบัฟเฟอร์ ปรับ pH ให้มี pH เท่ากับ 6.8 ภก.ควรจะใช้บัฟเฟอร์ใด</v>
      </c>
      <c r="C6" s="2"/>
      <c r="D6" s="2" t="str">
        <f ca="1">IFERROR(__xludf.DUMMYFUNCTION("""COMPUTED_VALUE"""),"NaH2PO4 (pKa 7.21)/ Na2HPO4")</f>
        <v>NaH2PO4 (pKa 7.21)/ Na2HPO4</v>
      </c>
      <c r="E6" s="2" t="str">
        <f ca="1">IFERROR(__xludf.DUMMYFUNCTION("""COMPUTED_VALUE"""),"Na2HPO4 / Na3PO4")</f>
        <v>Na2HPO4 / Na3PO4</v>
      </c>
      <c r="F6" s="2" t="str">
        <f ca="1">IFERROR(__xludf.DUMMYFUNCTION("""COMPUTED_VALUE"""),"Acetic acid (pKa 4.76)/ Sodium acetate")</f>
        <v>Acetic acid (pKa 4.76)/ Sodium acetate</v>
      </c>
      <c r="G6" s="2" t="str">
        <f ca="1">IFERROR(__xludf.DUMMYFUNCTION("""COMPUTED_VALUE"""),"Boric acid (pKa 8.24)/Sodium borate")</f>
        <v>Boric acid (pKa 8.24)/Sodium borate</v>
      </c>
      <c r="H6" s="2" t="str">
        <f ca="1">IFERROR(__xludf.DUMMYFUNCTION("""COMPUTED_VALUE"""),"HCl/NaOH")</f>
        <v>HCl/NaOH</v>
      </c>
      <c r="I6" s="2" t="str">
        <f ca="1">IFERROR(__xludf.DUMMYFUNCTION("""COMPUTED_VALUE"""),"1")</f>
        <v>1</v>
      </c>
      <c r="J6" s="2" t="str">
        <f ca="1">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 s="2"/>
      <c r="L6" s="2" t="str">
        <f ca="1">IFERROR(__xludf.DUMMYFUNCTION("""COMPUTED_VALUE"""),"Tablet Manufacturing")</f>
        <v>Tablet Manufacturing</v>
      </c>
      <c r="M6" s="2" t="str">
        <f ca="1">IFERROR(__xludf.DUMMYFUNCTION("""COMPUTED_VALUE"""),"Product")</f>
        <v>Product</v>
      </c>
      <c r="N6" s="2" t="str">
        <f ca="1">IFERROR(__xludf.DUMMYFUNCTION("""COMPUTED_VALUE"""),"ข้อ 7 Pharma Plus เล่มม่วง (เฉลยข้อ ก)")</f>
        <v>ข้อ 7 Pharma Plus เล่มม่วง (เฉลยข้อ ก)</v>
      </c>
      <c r="O6" s="2" t="str">
        <f ca="1">IFERROR(__xludf.DUMMYFUNCTION("""COMPUTED_VALUE"""),"Mock")</f>
        <v>Mock</v>
      </c>
      <c r="P6" s="2" t="str">
        <f ca="1">IFERROR(__xludf.DUMMYFUNCTION("""COMPUTED_VALUE"""),"Pharma Plus เล่มม่วง")</f>
        <v>Pharma Plus เล่มม่วง</v>
      </c>
    </row>
    <row r="7" spans="1:17" ht="13.2" customHeight="1" x14ac:dyDescent="0.25">
      <c r="A7" s="2" t="str">
        <f ca="1">IFERROR(__xludf.DUMMYFUNCTION("""COMPUTED_VALUE"""),"8")</f>
        <v>8</v>
      </c>
      <c r="B7" s="2" t="str">
        <f ca="1">IFERROR(__xludf.DUMMYFUNCTION("""COMPUTED_VALUE"""),"ในการเตรียม aspirin suspension หากต้องการให้ยาตกตะกอนไม่เร็วเกินไป สารปรุงแต่งที่ต้องเติมคือ")</f>
        <v>ในการเตรียม aspirin suspension หากต้องการให้ยาตกตะกอนไม่เร็วเกินไป สารปรุงแต่งที่ต้องเติมคือ</v>
      </c>
      <c r="C7" s="2"/>
      <c r="D7" s="2" t="str">
        <f ca="1">IFERROR(__xludf.DUMMYFUNCTION("""COMPUTED_VALUE"""),"Glycerin")</f>
        <v>Glycerin</v>
      </c>
      <c r="E7" s="2" t="str">
        <f ca="1">IFERROR(__xludf.DUMMYFUNCTION("""COMPUTED_VALUE"""),"Tween 80")</f>
        <v>Tween 80</v>
      </c>
      <c r="F7" s="2" t="str">
        <f ca="1">IFERROR(__xludf.DUMMYFUNCTION("""COMPUTED_VALUE"""),"Methylcellulose")</f>
        <v>Methylcellulose</v>
      </c>
      <c r="G7" s="2" t="str">
        <f ca="1">IFERROR(__xludf.DUMMYFUNCTION("""COMPUTED_VALUE"""),"Aluminium chloride")</f>
        <v>Aluminium chloride</v>
      </c>
      <c r="H7" s="2" t="str">
        <f ca="1">IFERROR(__xludf.DUMMYFUNCTION("""COMPUTED_VALUE"""),"Sodium citrate")</f>
        <v>Sodium citrate</v>
      </c>
      <c r="I7" s="2" t="str">
        <f ca="1">IFERROR(__xludf.DUMMYFUNCTION("""COMPUTED_VALUE"""),"3")</f>
        <v>3</v>
      </c>
      <c r="J7" s="2" t="str">
        <f ca="1">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 s="2"/>
      <c r="L7" s="2" t="str">
        <f ca="1">IFERROR(__xludf.DUMMYFUNCTION("""COMPUTED_VALUE"""),"Tablet Manufacturing")</f>
        <v>Tablet Manufacturing</v>
      </c>
      <c r="M7" s="2" t="str">
        <f ca="1">IFERROR(__xludf.DUMMYFUNCTION("""COMPUTED_VALUE"""),"Product")</f>
        <v>Product</v>
      </c>
      <c r="N7" s="2" t="str">
        <f ca="1">IFERROR(__xludf.DUMMYFUNCTION("""COMPUTED_VALUE"""),"ข้อ 8 Pharma Plus เล่มม่วง (เฉลยข้อ ค)")</f>
        <v>ข้อ 8 Pharma Plus เล่มม่วง (เฉลยข้อ ค)</v>
      </c>
      <c r="O7" s="2" t="str">
        <f ca="1">IFERROR(__xludf.DUMMYFUNCTION("""COMPUTED_VALUE"""),"Mock")</f>
        <v>Mock</v>
      </c>
      <c r="P7" s="2" t="str">
        <f ca="1">IFERROR(__xludf.DUMMYFUNCTION("""COMPUTED_VALUE"""),"Pharma Plus เล่มม่วง")</f>
        <v>Pharma Plus เล่มม่วง</v>
      </c>
    </row>
    <row r="8" spans="1:17" ht="13.2" customHeight="1" x14ac:dyDescent="0.25">
      <c r="A8" s="2" t="str">
        <f ca="1">IFERROR(__xludf.DUMMYFUNCTION("""COMPUTED_VALUE"""),"9")</f>
        <v>9</v>
      </c>
      <c r="B8" s="2" t="str">
        <f ca="1">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v>
      </c>
      <c r="C8" s="2"/>
      <c r="D8" s="2" t="str">
        <f ca="1">IFERROR(__xludf.DUMMYFUNCTION("""COMPUTED_VALUE"""),"Flocculation")</f>
        <v>Flocculation</v>
      </c>
      <c r="E8" s="2" t="str">
        <f ca="1">IFERROR(__xludf.DUMMYFUNCTION("""COMPUTED_VALUE"""),"Lamination")</f>
        <v>Lamination</v>
      </c>
      <c r="F8" s="2" t="str">
        <f ca="1">IFERROR(__xludf.DUMMYFUNCTION("""COMPUTED_VALUE"""),"Creaming")</f>
        <v>Creaming</v>
      </c>
      <c r="G8" s="2" t="str">
        <f ca="1">IFERROR(__xludf.DUMMYFUNCTION("""COMPUTED_VALUE"""),"Coalescence")</f>
        <v>Coalescence</v>
      </c>
      <c r="H8" s="2" t="str">
        <f ca="1">IFERROR(__xludf.DUMMYFUNCTION("""COMPUTED_VALUE"""),"Caking")</f>
        <v>Caking</v>
      </c>
      <c r="I8" s="2" t="str">
        <f ca="1">IFERROR(__xludf.DUMMYFUNCTION("""COMPUTED_VALUE"""),"5")</f>
        <v>5</v>
      </c>
      <c r="J8" s="2" t="str">
        <f ca="1">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 s="2"/>
      <c r="L8" s="2" t="str">
        <f ca="1">IFERROR(__xludf.DUMMYFUNCTION("""COMPUTED_VALUE"""),"Tablet Manufacturing")</f>
        <v>Tablet Manufacturing</v>
      </c>
      <c r="M8" s="2" t="str">
        <f ca="1">IFERROR(__xludf.DUMMYFUNCTION("""COMPUTED_VALUE"""),"Product")</f>
        <v>Product</v>
      </c>
      <c r="N8" s="2" t="str">
        <f ca="1">IFERROR(__xludf.DUMMYFUNCTION("""COMPUTED_VALUE"""),"ข้อ 9 Pharma Plus เล่มม่วง (เฉลยข้อ จ)")</f>
        <v>ข้อ 9 Pharma Plus เล่มม่วง (เฉลยข้อ จ)</v>
      </c>
      <c r="O8" s="2" t="str">
        <f ca="1">IFERROR(__xludf.DUMMYFUNCTION("""COMPUTED_VALUE"""),"Mock")</f>
        <v>Mock</v>
      </c>
      <c r="P8" s="2" t="str">
        <f ca="1">IFERROR(__xludf.DUMMYFUNCTION("""COMPUTED_VALUE"""),"Pharma Plus เล่มม่วง")</f>
        <v>Pharma Plus เล่มม่วง</v>
      </c>
    </row>
    <row r="9" spans="1:17" ht="13.2" customHeight="1" x14ac:dyDescent="0.25">
      <c r="A9" s="2" t="str">
        <f ca="1">IFERROR(__xludf.DUMMYFUNCTION("""COMPUTED_VALUE"""),"10")</f>
        <v>10</v>
      </c>
      <c r="B9" s="2" t="str">
        <f ca="1">IFERROR(__xludf.DUMMYFUNCTION("""COMPUTED_VALUE"""),"สูตรตำรับย้ำน้ำ Ferrous sulfate
- Ferrous sulfate 12.5 g
- Citric acid 0.2 g
- Paraben conc. 1 ml
- Syrup add qs 100 ml
ข้อใดถูก")</f>
        <v>สูตรตำรับย้ำน้ำ Ferrous sulfate
- Ferrous sulfate 12.5 g
- Citric acid 0.2 g
- Paraben conc. 1 ml
- Syrup add qs 100 ml
ข้อใดถูก</v>
      </c>
      <c r="C9" s="2"/>
      <c r="D9" s="2" t="str">
        <f ca="1">IFERROR(__xludf.DUMMYFUNCTION("""COMPUTED_VALUE"""),"มีปัญหาการละลาย")</f>
        <v>มีปัญหาการละลาย</v>
      </c>
      <c r="E9" s="2" t="str">
        <f ca="1">IFERROR(__xludf.DUMMYFUNCTION("""COMPUTED_VALUE"""),"ต้องเก็บในตู้เย็น")</f>
        <v>ต้องเก็บในตู้เย็น</v>
      </c>
      <c r="F9" s="2" t="str">
        <f ca="1">IFERROR(__xludf.DUMMYFUNCTION("""COMPUTED_VALUE"""),"เก็บในขวดใส ปิดสนิท")</f>
        <v>เก็บในขวดใส ปิดสนิท</v>
      </c>
      <c r="G9" s="2" t="str">
        <f ca="1">IFERROR(__xludf.DUMMYFUNCTION("""COMPUTED_VALUE"""),"ไม่มีสารแต่งรส")</f>
        <v>ไม่มีสารแต่งรส</v>
      </c>
      <c r="H9" s="2" t="str">
        <f ca="1">IFERROR(__xludf.DUMMYFUNCTION("""COMPUTED_VALUE"""),"ไม่มีสารเพิ่มความคงตัว")</f>
        <v>ไม่มีสารเพิ่มความคงตัว</v>
      </c>
      <c r="I9" s="2" t="str">
        <f ca="1">IFERROR(__xludf.DUMMYFUNCTION("""COMPUTED_VALUE"""),"1")</f>
        <v>1</v>
      </c>
      <c r="J9" s="2" t="str">
        <f ca="1">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 s="2"/>
      <c r="L9" s="2" t="str">
        <f ca="1">IFERROR(__xludf.DUMMYFUNCTION("""COMPUTED_VALUE"""),"Tablet Manufacturing")</f>
        <v>Tablet Manufacturing</v>
      </c>
      <c r="M9" s="2" t="str">
        <f ca="1">IFERROR(__xludf.DUMMYFUNCTION("""COMPUTED_VALUE"""),"Product")</f>
        <v>Product</v>
      </c>
      <c r="N9" s="2" t="str">
        <f ca="1">IFERROR(__xludf.DUMMYFUNCTION("""COMPUTED_VALUE"""),"ข้อ 10 Pharma Plus เล่มม่วง (เฉลยข้อ ก)")</f>
        <v>ข้อ 10 Pharma Plus เล่มม่วง (เฉลยข้อ ก)</v>
      </c>
      <c r="O9" s="2" t="str">
        <f ca="1">IFERROR(__xludf.DUMMYFUNCTION("""COMPUTED_VALUE"""),"Mock")</f>
        <v>Mock</v>
      </c>
      <c r="P9" s="2" t="str">
        <f ca="1">IFERROR(__xludf.DUMMYFUNCTION("""COMPUTED_VALUE"""),"Pharma Plus เล่มม่วง")</f>
        <v>Pharma Plus เล่มม่วง</v>
      </c>
    </row>
    <row r="10" spans="1:17" ht="13.2" customHeight="1" x14ac:dyDescent="0.25">
      <c r="A10" s="2" t="str">
        <f ca="1">IFERROR(__xludf.DUMMYFUNCTION("""COMPUTED_VALUE"""),"11")</f>
        <v>11</v>
      </c>
      <c r="B10" s="2" t="str">
        <f ca="1">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v>
      </c>
      <c r="C10" s="2"/>
      <c r="D10" s="2" t="str">
        <f ca="1">IFERROR(__xludf.DUMMYFUNCTION("""COMPUTED_VALUE"""),"0.625 mg")</f>
        <v>0.625 mg</v>
      </c>
      <c r="E10" s="2" t="str">
        <f ca="1">IFERROR(__xludf.DUMMYFUNCTION("""COMPUTED_VALUE"""),"2.625 mg")</f>
        <v>2.625 mg</v>
      </c>
      <c r="F10" s="2" t="str">
        <f ca="1">IFERROR(__xludf.DUMMYFUNCTION("""COMPUTED_VALUE"""),"62.5 mg")</f>
        <v>62.5 mg</v>
      </c>
      <c r="G10" s="2" t="str">
        <f ca="1">IFERROR(__xludf.DUMMYFUNCTION("""COMPUTED_VALUE"""),"375 mg")</f>
        <v>375 mg</v>
      </c>
      <c r="H10" s="2" t="str">
        <f ca="1">IFERROR(__xludf.DUMMYFUNCTION("""COMPUTED_VALUE"""),"125 mg")</f>
        <v>125 mg</v>
      </c>
      <c r="I10" s="2" t="str">
        <f ca="1">IFERROR(__xludf.DUMMYFUNCTION("""COMPUTED_VALUE"""),"5")</f>
        <v>5</v>
      </c>
      <c r="J10" s="2" t="str">
        <f ca="1">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0" s="2"/>
      <c r="L10" s="2" t="str">
        <f ca="1">IFERROR(__xludf.DUMMYFUNCTION("""COMPUTED_VALUE"""),"Tablet Manufacturing")</f>
        <v>Tablet Manufacturing</v>
      </c>
      <c r="M10" s="2" t="str">
        <f ca="1">IFERROR(__xludf.DUMMYFUNCTION("""COMPUTED_VALUE"""),"Product")</f>
        <v>Product</v>
      </c>
      <c r="N10" s="2" t="str">
        <f ca="1">IFERROR(__xludf.DUMMYFUNCTION("""COMPUTED_VALUE"""),"ข้อ 11 Pharma Plus เล่มม่วง (เฉลยข้อ จ)")</f>
        <v>ข้อ 11 Pharma Plus เล่มม่วง (เฉลยข้อ จ)</v>
      </c>
      <c r="O10" s="2" t="str">
        <f ca="1">IFERROR(__xludf.DUMMYFUNCTION("""COMPUTED_VALUE"""),"Mock")</f>
        <v>Mock</v>
      </c>
      <c r="P10" s="2" t="str">
        <f ca="1">IFERROR(__xludf.DUMMYFUNCTION("""COMPUTED_VALUE"""),"Pharma Plus เล่มม่วง")</f>
        <v>Pharma Plus เล่มม่วง</v>
      </c>
    </row>
    <row r="11" spans="1:17" ht="13.2" customHeight="1" x14ac:dyDescent="0.25">
      <c r="A11" s="2" t="str">
        <f ca="1">IFERROR(__xludf.DUMMYFUNCTION("""COMPUTED_VALUE"""),"22")</f>
        <v>22</v>
      </c>
      <c r="B11" s="2" t="str">
        <f ca="1">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v>
      </c>
      <c r="C11" s="2"/>
      <c r="D11" s="2" t="str">
        <f ca="1">IFERROR(__xludf.DUMMYFUNCTION("""COMPUTED_VALUE"""),"Stearic acid")</f>
        <v>Stearic acid</v>
      </c>
      <c r="E11" s="2" t="str">
        <f ca="1">IFERROR(__xludf.DUMMYFUNCTION("""COMPUTED_VALUE"""),"Lanolin")</f>
        <v>Lanolin</v>
      </c>
      <c r="F11" s="2" t="str">
        <f ca="1">IFERROR(__xludf.DUMMYFUNCTION("""COMPUTED_VALUE"""),"Cetyl alcohol")</f>
        <v>Cetyl alcohol</v>
      </c>
      <c r="G11" s="2" t="str">
        <f ca="1">IFERROR(__xludf.DUMMYFUNCTION("""COMPUTED_VALUE"""),"Potassium hydroxide")</f>
        <v>Potassium hydroxide</v>
      </c>
      <c r="H11" s="2" t="str">
        <f ca="1">IFERROR(__xludf.DUMMYFUNCTION("""COMPUTED_VALUE"""),"Potassium stearate")</f>
        <v>Potassium stearate</v>
      </c>
      <c r="I11" s="2" t="str">
        <f ca="1">IFERROR(__xludf.DUMMYFUNCTION("""COMPUTED_VALUE"""),"5")</f>
        <v>5</v>
      </c>
      <c r="J11" s="2" t="str">
        <f ca="1">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1" s="2"/>
      <c r="L11" s="2" t="str">
        <f ca="1">IFERROR(__xludf.DUMMYFUNCTION("""COMPUTED_VALUE"""),"Tablet Manufacturing")</f>
        <v>Tablet Manufacturing</v>
      </c>
      <c r="M11" s="2" t="str">
        <f ca="1">IFERROR(__xludf.DUMMYFUNCTION("""COMPUTED_VALUE"""),"Product")</f>
        <v>Product</v>
      </c>
      <c r="N11" s="2" t="str">
        <f ca="1">IFERROR(__xludf.DUMMYFUNCTION("""COMPUTED_VALUE"""),"ข้อ 22 Pharma Plus เล่มม่วง (เฉลยข้อ จ)")</f>
        <v>ข้อ 22 Pharma Plus เล่มม่วง (เฉลยข้อ จ)</v>
      </c>
      <c r="O11" s="2" t="str">
        <f ca="1">IFERROR(__xludf.DUMMYFUNCTION("""COMPUTED_VALUE"""),"Mock")</f>
        <v>Mock</v>
      </c>
      <c r="P11" s="2" t="str">
        <f ca="1">IFERROR(__xludf.DUMMYFUNCTION("""COMPUTED_VALUE"""),"Pharma Plus เล่มม่วง")</f>
        <v>Pharma Plus เล่มม่วง</v>
      </c>
    </row>
    <row r="12" spans="1:17" ht="13.2" customHeight="1" x14ac:dyDescent="0.25">
      <c r="A12" s="2" t="str">
        <f ca="1">IFERROR(__xludf.DUMMYFUNCTION("""COMPUTED_VALUE"""),"23")</f>
        <v>23</v>
      </c>
      <c r="B12" s="2" t="str">
        <f ca="1">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ยายหยอดตามีส่วนประกอบดังนี้ Neomycin sulfate, Polymyxin B sulphate, NaCl, Benzalkonium chloride, Hypromellose, Disodium edetate จากตำรับดังกล่าว Hypromellose มีหน้าที่อะไร</v>
      </c>
      <c r="C12" s="2"/>
      <c r="D12" s="2" t="str">
        <f ca="1">IFERROR(__xludf.DUMMYFUNCTION("""COMPUTED_VALUE"""),"เพิ่มการละลายของ Neomycin")</f>
        <v>เพิ่มการละลายของ Neomycin</v>
      </c>
      <c r="E12" s="2" t="str">
        <f ca="1">IFERROR(__xludf.DUMMYFUNCTION("""COMPUTED_VALUE"""),"ป้องกันการตกตะกอนขุ่นของสารละลาย")</f>
        <v>ป้องกันการตกตะกอนขุ่นของสารละลาย</v>
      </c>
      <c r="F12" s="2" t="str">
        <f ca="1">IFERROR(__xludf.DUMMYFUNCTION("""COMPUTED_VALUE"""),"เพิ่มฤทธิ์ฆ่าเชื้อแบคทีเรีย")</f>
        <v>เพิ่มฤทธิ์ฆ่าเชื้อแบคทีเรีย</v>
      </c>
      <c r="G12" s="2" t="str">
        <f ca="1">IFERROR(__xludf.DUMMYFUNCTION("""COMPUTED_VALUE"""),"ลดการแสบระคายเคืองตา")</f>
        <v>ลดการแสบระคายเคืองตา</v>
      </c>
      <c r="H12" s="2" t="str">
        <f ca="1">IFERROR(__xludf.DUMMYFUNCTION("""COMPUTED_VALUE"""),"เพิ่มการติดของสารละลายกับดวงตา")</f>
        <v>เพิ่มการติดของสารละลายกับดวงตา</v>
      </c>
      <c r="I12" s="2" t="str">
        <f ca="1">IFERROR(__xludf.DUMMYFUNCTION("""COMPUTED_VALUE"""),"5")</f>
        <v>5</v>
      </c>
      <c r="J12" s="2" t="str">
        <f ca="1">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2" s="2"/>
      <c r="L12" s="2" t="str">
        <f ca="1">IFERROR(__xludf.DUMMYFUNCTION("""COMPUTED_VALUE"""),"Tablet Manufacturing")</f>
        <v>Tablet Manufacturing</v>
      </c>
      <c r="M12" s="2" t="str">
        <f ca="1">IFERROR(__xludf.DUMMYFUNCTION("""COMPUTED_VALUE"""),"Product")</f>
        <v>Product</v>
      </c>
      <c r="N12" s="2" t="str">
        <f ca="1">IFERROR(__xludf.DUMMYFUNCTION("""COMPUTED_VALUE"""),"ข้อ 23 Pharma Plus เล่มม่วง (เฉลยข้อ จ)")</f>
        <v>ข้อ 23 Pharma Plus เล่มม่วง (เฉลยข้อ จ)</v>
      </c>
      <c r="O12" s="2" t="str">
        <f ca="1">IFERROR(__xludf.DUMMYFUNCTION("""COMPUTED_VALUE"""),"Mock")</f>
        <v>Mock</v>
      </c>
      <c r="P12" s="2" t="str">
        <f ca="1">IFERROR(__xludf.DUMMYFUNCTION("""COMPUTED_VALUE"""),"Pharma Plus เล่มม่วง")</f>
        <v>Pharma Plus เล่มม่วง</v>
      </c>
    </row>
    <row r="13" spans="1:17" ht="13.2" customHeight="1" x14ac:dyDescent="0.25">
      <c r="A13" s="2" t="str">
        <f ca="1">IFERROR(__xludf.DUMMYFUNCTION("""COMPUTED_VALUE"""),"24")</f>
        <v>24</v>
      </c>
      <c r="B13" s="2" t="str">
        <f ca="1">IFERROR(__xludf.DUMMYFUNCTION("""COMPUTED_VALUE"""),"คุณสมบัติที่สำคัญที่สุดของยาตา")</f>
        <v>คุณสมบัติที่สำคัญที่สุดของยาตา</v>
      </c>
      <c r="C13" s="2"/>
      <c r="D13" s="2" t="str">
        <f ca="1">IFERROR(__xludf.DUMMYFUNCTION("""COMPUTED_VALUE"""),"Isotonic")</f>
        <v>Isotonic</v>
      </c>
      <c r="E13" s="2" t="str">
        <f ca="1">IFERROR(__xludf.DUMMYFUNCTION("""COMPUTED_VALUE"""),"Sterile")</f>
        <v>Sterile</v>
      </c>
      <c r="F13" s="2" t="str">
        <f ca="1">IFERROR(__xludf.DUMMYFUNCTION("""COMPUTED_VALUE"""),"pH")</f>
        <v>pH</v>
      </c>
      <c r="G13" s="2" t="str">
        <f ca="1">IFERROR(__xludf.DUMMYFUNCTION("""COMPUTED_VALUE"""),"Preservative")</f>
        <v>Preservative</v>
      </c>
      <c r="H13" s="2" t="str">
        <f ca="1">IFERROR(__xludf.DUMMYFUNCTION("""COMPUTED_VALUE"""),"ต้องเป็นสารละลาย")</f>
        <v>ต้องเป็นสารละลาย</v>
      </c>
      <c r="I13" s="2" t="str">
        <f ca="1">IFERROR(__xludf.DUMMYFUNCTION("""COMPUTED_VALUE"""),"2")</f>
        <v>2</v>
      </c>
      <c r="J13" s="2" t="str">
        <f ca="1">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3" s="2"/>
      <c r="L13" s="2" t="str">
        <f ca="1">IFERROR(__xludf.DUMMYFUNCTION("""COMPUTED_VALUE"""),"Tablet Manufacturing")</f>
        <v>Tablet Manufacturing</v>
      </c>
      <c r="M13" s="2" t="str">
        <f ca="1">IFERROR(__xludf.DUMMYFUNCTION("""COMPUTED_VALUE"""),"Product")</f>
        <v>Product</v>
      </c>
      <c r="N13" s="2" t="str">
        <f ca="1">IFERROR(__xludf.DUMMYFUNCTION("""COMPUTED_VALUE"""),"ข้อ 24 Pharma Plus เล่มม่วง (เฉลยข้อ ข)")</f>
        <v>ข้อ 24 Pharma Plus เล่มม่วง (เฉลยข้อ ข)</v>
      </c>
      <c r="O13" s="2" t="str">
        <f ca="1">IFERROR(__xludf.DUMMYFUNCTION("""COMPUTED_VALUE"""),"Mock")</f>
        <v>Mock</v>
      </c>
      <c r="P13" s="2" t="str">
        <f ca="1">IFERROR(__xludf.DUMMYFUNCTION("""COMPUTED_VALUE"""),"Pharma Plus เล่มม่วง")</f>
        <v>Pharma Plus เล่มม่วง</v>
      </c>
    </row>
    <row r="14" spans="1:17" ht="13.2" customHeight="1" x14ac:dyDescent="0.25">
      <c r="A14" s="2" t="str">
        <f ca="1">IFERROR(__xludf.DUMMYFUNCTION("""COMPUTED_VALUE"""),"25")</f>
        <v>25</v>
      </c>
      <c r="B14" s="2" t="str">
        <f ca="1">IFERROR(__xludf.DUMMYFUNCTION("""COMPUTED_VALUE"""),"Norfloxacin มีค่าการละลายต่ำจึงนำมาใช้ร่วมกับ B-cyclodextrin ข้อใดคือกลไกของ B-cyclodextrin")</f>
        <v>Norfloxacin มีค่าการละลายต่ำจึงนำมาใช้ร่วมกับ B-cyclodextrin ข้อใดคือกลไกของ B-cyclodextrin</v>
      </c>
      <c r="C14" s="2"/>
      <c r="D14" s="2" t="str">
        <f ca="1">IFERROR(__xludf.DUMMYFUNCTION("""COMPUTED_VALUE"""),"pH")</f>
        <v>pH</v>
      </c>
      <c r="E14" s="2" t="str">
        <f ca="1">IFERROR(__xludf.DUMMYFUNCTION("""COMPUTED_VALUE"""),"ลดค่า dielectric constant")</f>
        <v>ลดค่า dielectric constant</v>
      </c>
      <c r="F14" s="2" t="str">
        <f ca="1">IFERROR(__xludf.DUMMYFUNCTION("""COMPUTED_VALUE"""),"Micelle")</f>
        <v>Micelle</v>
      </c>
      <c r="G14" s="2" t="str">
        <f ca="1">IFERROR(__xludf.DUMMYFUNCTION("""COMPUTED_VALUE"""),"Co-solvent")</f>
        <v>Co-solvent</v>
      </c>
      <c r="H14" s="2" t="str">
        <f ca="1">IFERROR(__xludf.DUMMYFUNCTION("""COMPUTED_VALUE"""),"Complexation")</f>
        <v>Complexation</v>
      </c>
      <c r="I14" s="2" t="str">
        <f ca="1">IFERROR(__xludf.DUMMYFUNCTION("""COMPUTED_VALUE"""),"5")</f>
        <v>5</v>
      </c>
      <c r="J14" s="2" t="str">
        <f ca="1">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4" s="2"/>
      <c r="L14" s="2" t="str">
        <f ca="1">IFERROR(__xludf.DUMMYFUNCTION("""COMPUTED_VALUE"""),"Tablet Manufacturing")</f>
        <v>Tablet Manufacturing</v>
      </c>
      <c r="M14" s="2" t="str">
        <f ca="1">IFERROR(__xludf.DUMMYFUNCTION("""COMPUTED_VALUE"""),"Product")</f>
        <v>Product</v>
      </c>
      <c r="N14" s="2" t="str">
        <f ca="1">IFERROR(__xludf.DUMMYFUNCTION("""COMPUTED_VALUE"""),"ข้อ 25 Pharma Plus เล่มม่วง (เฉลยข้อ จ)")</f>
        <v>ข้อ 25 Pharma Plus เล่มม่วง (เฉลยข้อ จ)</v>
      </c>
      <c r="O14" s="2" t="str">
        <f ca="1">IFERROR(__xludf.DUMMYFUNCTION("""COMPUTED_VALUE"""),"Mock")</f>
        <v>Mock</v>
      </c>
      <c r="P14" s="2" t="str">
        <f ca="1">IFERROR(__xludf.DUMMYFUNCTION("""COMPUTED_VALUE"""),"Pharma Plus เล่มม่วง")</f>
        <v>Pharma Plus เล่มม่วง</v>
      </c>
    </row>
    <row r="15" spans="1:17" ht="13.2" customHeight="1" x14ac:dyDescent="0.25">
      <c r="A15" s="2" t="str">
        <f ca="1">IFERROR(__xludf.DUMMYFUNCTION("""COMPUTED_VALUE"""),"26")</f>
        <v>26</v>
      </c>
      <c r="B15" s="2" t="str">
        <f ca="1">IFERROR(__xludf.DUMMYFUNCTION("""COMPUTED_VALUE"""),"หากต้องการพัฒนาสูตรตำรับยาคุมกำเนิดปัญหาใดที่มีความสำคัญที่สุดและต้องแก้ไข")</f>
        <v>หากต้องการพัฒนาสูตรตำรับยาคุมกำเนิดปัญหาใดที่มีความสำคัญที่สุดและต้องแก้ไข</v>
      </c>
      <c r="C15" s="2"/>
      <c r="D15" s="2" t="str">
        <f ca="1">IFERROR(__xludf.DUMMYFUNCTION("""COMPUTED_VALUE"""),"ความหนาของเม็ดยาต้องเท่ากัน")</f>
        <v>ความหนาของเม็ดยาต้องเท่ากัน</v>
      </c>
      <c r="E15" s="2" t="str">
        <f ca="1">IFERROR(__xludf.DUMMYFUNCTION("""COMPUTED_VALUE"""),"ความแข็งของเม็ดยา เนื่องจากต้องพกติดตัว")</f>
        <v>ความแข็งของเม็ดยา เนื่องจากต้องพกติดตัว</v>
      </c>
      <c r="F15" s="2" t="str">
        <f ca="1">IFERROR(__xludf.DUMMYFUNCTION("""COMPUTED_VALUE"""),"ความสม่ำเสมอของตัวยาสำคัญ")</f>
        <v>ความสม่ำเสมอของตัวยาสำคัญ</v>
      </c>
      <c r="G15" s="2" t="str">
        <f ca="1">IFERROR(__xludf.DUMMYFUNCTION("""COMPUTED_VALUE"""),"ความกร่อน")</f>
        <v>ความกร่อน</v>
      </c>
      <c r="H15" s="2" t="str">
        <f ca="1">IFERROR(__xludf.DUMMYFUNCTION("""COMPUTED_VALUE"""),"การละลายของยา")</f>
        <v>การละลายของยา</v>
      </c>
      <c r="I15" s="2" t="str">
        <f ca="1">IFERROR(__xludf.DUMMYFUNCTION("""COMPUTED_VALUE"""),"3")</f>
        <v>3</v>
      </c>
      <c r="J15" s="2" t="str">
        <f ca="1">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5" s="2"/>
      <c r="L15" s="2" t="str">
        <f ca="1">IFERROR(__xludf.DUMMYFUNCTION("""COMPUTED_VALUE"""),"Tablet Manufacturing")</f>
        <v>Tablet Manufacturing</v>
      </c>
      <c r="M15" s="2" t="str">
        <f ca="1">IFERROR(__xludf.DUMMYFUNCTION("""COMPUTED_VALUE"""),"Product")</f>
        <v>Product</v>
      </c>
      <c r="N15" s="2" t="str">
        <f ca="1">IFERROR(__xludf.DUMMYFUNCTION("""COMPUTED_VALUE"""),"ข้อ 26 Pharma Plus เล่มม่วง (เฉลยข้อ ค)")</f>
        <v>ข้อ 26 Pharma Plus เล่มม่วง (เฉลยข้อ ค)</v>
      </c>
      <c r="O15" s="2" t="str">
        <f ca="1">IFERROR(__xludf.DUMMYFUNCTION("""COMPUTED_VALUE"""),"Mock")</f>
        <v>Mock</v>
      </c>
      <c r="P15" s="2" t="str">
        <f ca="1">IFERROR(__xludf.DUMMYFUNCTION("""COMPUTED_VALUE"""),"Pharma Plus เล่มม่วง")</f>
        <v>Pharma Plus เล่มม่วง</v>
      </c>
    </row>
    <row r="16" spans="1:17" ht="13.2" customHeight="1" x14ac:dyDescent="0.25">
      <c r="A16" s="2" t="str">
        <f ca="1">IFERROR(__xludf.DUMMYFUNCTION("""COMPUTED_VALUE"""),"72")</f>
        <v>72</v>
      </c>
      <c r="B16" s="2" t="str">
        <f ca="1">IFERROR(__xludf.DUMMYFUNCTION("""COMPUTED_VALUE"""),"สาเหตุความไม่คงตัวดังข้อ 71 คือ")</f>
        <v>สาเหตุความไม่คงตัวดังข้อ 71 คือ</v>
      </c>
      <c r="C16" s="2"/>
      <c r="D16" s="2" t="str">
        <f ca="1">IFERROR(__xludf.DUMMYFUNCTION("""COMPUTED_VALUE"""),"อนุภาคมีขนาดใหญ่เกินไป")</f>
        <v>อนุภาคมีขนาดใหญ่เกินไป</v>
      </c>
      <c r="E16" s="2" t="str">
        <f ca="1">IFERROR(__xludf.DUMMYFUNCTION("""COMPUTED_VALUE"""),"วัตภาคน้ำมันมีปริมาณมากเกินไป")</f>
        <v>วัตภาคน้ำมันมีปริมาณมากเกินไป</v>
      </c>
      <c r="F16" s="2" t="str">
        <f ca="1">IFERROR(__xludf.DUMMYFUNCTION("""COMPUTED_VALUE"""),"ความหนืดของวัตภาคภายนอกสูงเกินไป")</f>
        <v>ความหนืดของวัตภาคภายนอกสูงเกินไป</v>
      </c>
      <c r="G16" s="2" t="str">
        <f ca="1">IFERROR(__xludf.DUMMYFUNCTION("""COMPUTED_VALUE"""),"ไม่มีสารก่ออิมัลชัน (emulsifier) ในตำรับ")</f>
        <v>ไม่มีสารก่ออิมัลชัน (emulsifier) ในตำรับ</v>
      </c>
      <c r="H16" s="2" t="str">
        <f ca="1">IFERROR(__xludf.DUMMYFUNCTION("""COMPUTED_VALUE"""),"ความหนาแน่นของวัตภาคในและนอกมีค่าใกล้เคียงกัน")</f>
        <v>ความหนาแน่นของวัตภาคในและนอกมีค่าใกล้เคียงกัน</v>
      </c>
      <c r="I16" s="2" t="str">
        <f ca="1">IFERROR(__xludf.DUMMYFUNCTION("""COMPUTED_VALUE"""),"4")</f>
        <v>4</v>
      </c>
      <c r="J16" s="2" t="str">
        <f ca="1">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6" s="2"/>
      <c r="L16" s="2" t="str">
        <f ca="1">IFERROR(__xludf.DUMMYFUNCTION("""COMPUTED_VALUE"""),"Tablet Manufacturing")</f>
        <v>Tablet Manufacturing</v>
      </c>
      <c r="M16" s="2" t="str">
        <f ca="1">IFERROR(__xludf.DUMMYFUNCTION("""COMPUTED_VALUE"""),"Product")</f>
        <v>Product</v>
      </c>
      <c r="N16" s="2" t="str">
        <f ca="1">IFERROR(__xludf.DUMMYFUNCTION("""COMPUTED_VALUE"""),"ข้อ 72 Pharma Plus เล่มม่วง (เฉลยข้อ ง)")</f>
        <v>ข้อ 72 Pharma Plus เล่มม่วง (เฉลยข้อ ง)</v>
      </c>
      <c r="O16" s="2" t="str">
        <f ca="1">IFERROR(__xludf.DUMMYFUNCTION("""COMPUTED_VALUE"""),"Mock")</f>
        <v>Mock</v>
      </c>
      <c r="P16" s="2" t="str">
        <f ca="1">IFERROR(__xludf.DUMMYFUNCTION("""COMPUTED_VALUE"""),"Pharma Plus เล่มม่วง")</f>
        <v>Pharma Plus เล่มม่วง</v>
      </c>
    </row>
    <row r="17" spans="1:16" ht="13.2" customHeight="1" x14ac:dyDescent="0.25">
      <c r="A17" s="2" t="str">
        <f ca="1">IFERROR(__xludf.DUMMYFUNCTION("""COMPUTED_VALUE"""),"73")</f>
        <v>73</v>
      </c>
      <c r="B17" s="2" t="str">
        <f ca="1">IFERROR(__xludf.DUMMYFUNCTION("""COMPUTED_VALUE"""),"ค่า required HLB ในการเกิดเป็น o/w emulsion ของวัตภาคน้ำมัน stearic acid และ liquid paraffin ในตำรับข้อ 71 มีค่าเท่ากับ")</f>
        <v>ค่า required HLB ในการเกิดเป็น o/w emulsion ของวัตภาคน้ำมัน stearic acid และ liquid paraffin ในตำรับข้อ 71 มีค่าเท่ากับ</v>
      </c>
      <c r="C17" s="2"/>
      <c r="D17" s="2" t="str">
        <f ca="1">IFERROR(__xludf.DUMMYFUNCTION("""COMPUTED_VALUE"""),"9.5")</f>
        <v>9.5</v>
      </c>
      <c r="E17" s="2" t="str">
        <f ca="1">IFERROR(__xludf.DUMMYFUNCTION("""COMPUTED_VALUE"""),"10.75")</f>
        <v>10.75</v>
      </c>
      <c r="F17" s="2" t="str">
        <f ca="1">IFERROR(__xludf.DUMMYFUNCTION("""COMPUTED_VALUE"""),"11.04")</f>
        <v>11.04</v>
      </c>
      <c r="G17" s="2" t="str">
        <f ca="1">IFERROR(__xludf.DUMMYFUNCTION("""COMPUTED_VALUE"""),"12.13")</f>
        <v>12.13</v>
      </c>
      <c r="H17" s="2" t="str">
        <f ca="1">IFERROR(__xludf.DUMMYFUNCTION("""COMPUTED_VALUE"""),"14")</f>
        <v>14</v>
      </c>
      <c r="I17" s="2" t="str">
        <f ca="1">IFERROR(__xludf.DUMMYFUNCTION("""COMPUTED_VALUE"""),"1")</f>
        <v>1</v>
      </c>
      <c r="J17" s="2" t="str">
        <f ca="1">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7" s="2"/>
      <c r="L17" s="2" t="str">
        <f ca="1">IFERROR(__xludf.DUMMYFUNCTION("""COMPUTED_VALUE"""),"Tablet Manufacturing")</f>
        <v>Tablet Manufacturing</v>
      </c>
      <c r="M17" s="2" t="str">
        <f ca="1">IFERROR(__xludf.DUMMYFUNCTION("""COMPUTED_VALUE"""),"Product")</f>
        <v>Product</v>
      </c>
      <c r="N17" s="2" t="str">
        <f ca="1">IFERROR(__xludf.DUMMYFUNCTION("""COMPUTED_VALUE"""),"ข้อ 73 Pharma Plus เล่มม่วง (เฉลยข้อ )")</f>
        <v>ข้อ 73 Pharma Plus เล่มม่วง (เฉลยข้อ )</v>
      </c>
      <c r="O17" s="2" t="str">
        <f ca="1">IFERROR(__xludf.DUMMYFUNCTION("""COMPUTED_VALUE"""),"Mock")</f>
        <v>Mock</v>
      </c>
      <c r="P17" s="2" t="str">
        <f ca="1">IFERROR(__xludf.DUMMYFUNCTION("""COMPUTED_VALUE"""),"Pharma Plus เล่มม่วง")</f>
        <v>Pharma Plus เล่มม่วง</v>
      </c>
    </row>
    <row r="18" spans="1:16" ht="13.2" customHeight="1" x14ac:dyDescent="0.25">
      <c r="A18" s="2" t="str">
        <f ca="1">IFERROR(__xludf.DUMMYFUNCTION("""COMPUTED_VALUE"""),"74")</f>
        <v>74</v>
      </c>
      <c r="B18" s="2" t="str">
        <f ca="1">IFERROR(__xludf.DUMMYFUNCTION("""COMPUTED_VALUE"""),"สัดส่วนที่เหมาะสมของสารก่ออิมัลชันที่ใช้สำหรับตำรับข้อ 71 เพื่อให้เกิดเป็น o/w")</f>
        <v>สัดส่วนที่เหมาะสมของสารก่ออิมัลชันที่ใช้สำหรับตำรับข้อ 71 เพื่อให้เกิดเป็น o/w</v>
      </c>
      <c r="C18" s="2"/>
      <c r="D18" s="2" t="str">
        <f ca="1">IFERROR(__xludf.DUMMYFUNCTION("""COMPUTED_VALUE"""),"Tween 80 : Span 80 = 8.43 : 2.87")</f>
        <v>Tween 80 : Span 80 = 8.43 : 2.87</v>
      </c>
      <c r="E18" s="2" t="str">
        <f ca="1">IFERROR(__xludf.DUMMYFUNCTION("""COMPUTED_VALUE"""),"Tween 80 : Span 80 = 2.87 : 8.43")</f>
        <v>Tween 80 : Span 80 = 2.87 : 8.43</v>
      </c>
      <c r="F18" s="2" t="str">
        <f ca="1">IFERROR(__xludf.DUMMYFUNCTION("""COMPUTED_VALUE"""),"Tween 80 : Span 80 = 15.0 : 3.7")</f>
        <v>Tween 80 : Span 80 = 15.0 : 3.7</v>
      </c>
      <c r="G18" s="2" t="str">
        <f ca="1">IFERROR(__xludf.DUMMYFUNCTION("""COMPUTED_VALUE"""),"Tween 80 : Span 80 = 3.7 : 15.0")</f>
        <v>Tween 80 : Span 80 = 3.7 : 15.0</v>
      </c>
      <c r="H18" s="2" t="str">
        <f ca="1">IFERROR(__xludf.DUMMYFUNCTION("""COMPUTED_VALUE"""),"Tween 80 : Span 80 = 1.5 : 2.5")</f>
        <v>Tween 80 : Span 80 = 1.5 : 2.5</v>
      </c>
      <c r="I18" s="2" t="str">
        <f ca="1">IFERROR(__xludf.DUMMYFUNCTION("""COMPUTED_VALUE"""),"1")</f>
        <v>1</v>
      </c>
      <c r="J18" s="2" t="str">
        <f ca="1">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8" s="2"/>
      <c r="L18" s="2" t="str">
        <f ca="1">IFERROR(__xludf.DUMMYFUNCTION("""COMPUTED_VALUE"""),"Tablet Manufacturing")</f>
        <v>Tablet Manufacturing</v>
      </c>
      <c r="M18" s="2" t="str">
        <f ca="1">IFERROR(__xludf.DUMMYFUNCTION("""COMPUTED_VALUE"""),"Product")</f>
        <v>Product</v>
      </c>
      <c r="N18" s="2" t="str">
        <f ca="1">IFERROR(__xludf.DUMMYFUNCTION("""COMPUTED_VALUE"""),"ข้อ 74 Pharma Plus เล่มม่วง (เฉลยข้อ )")</f>
        <v>ข้อ 74 Pharma Plus เล่มม่วง (เฉลยข้อ )</v>
      </c>
      <c r="O18" s="2" t="str">
        <f ca="1">IFERROR(__xludf.DUMMYFUNCTION("""COMPUTED_VALUE"""),"Mock")</f>
        <v>Mock</v>
      </c>
      <c r="P18" s="2" t="str">
        <f ca="1">IFERROR(__xludf.DUMMYFUNCTION("""COMPUTED_VALUE"""),"Pharma Plus เล่มม่วง")</f>
        <v>Pharma Plus เล่มม่วง</v>
      </c>
    </row>
    <row r="19" spans="1:16" ht="13.2" customHeight="1" x14ac:dyDescent="0.25">
      <c r="A19" s="2" t="str">
        <f ca="1">IFERROR(__xludf.DUMMYFUNCTION("""COMPUTED_VALUE"""),"75")</f>
        <v>75</v>
      </c>
      <c r="B19" s="2" t="str">
        <f ca="1">IFERROR(__xludf.DUMMYFUNCTION("""COMPUTED_VALUE"""),"เพราะเหตุใดอิมัลชันที่เตรียมได้ตามสูตรข้างต้นเป็นอิมัลชันชนิด o/w")</f>
        <v>เพราะเหตุใดอิมัลชันที่เตรียมได้ตามสูตรข้างต้นเป็นอิมัลชันชนิด o/w</v>
      </c>
      <c r="C19" s="2"/>
      <c r="D19" s="2" t="str">
        <f ca="1">IFERROR(__xludf.DUMMYFUNCTION("""COMPUTED_VALUE"""),"มีปริมาตรวัตภาคบ้า(น้ำ)สูงกว่าวัตภาคน้ำมัน และระบบสารก่ออิมัลชัน (emulsifier system) มีค่า HLB ที่สูง")</f>
        <v>มีปริมาตรวัตภาคบ้า(น้ำ)สูงกว่าวัตภาคน้ำมัน และระบบสารก่ออิมัลชัน (emulsifier system) มีค่า HLB ที่สูง</v>
      </c>
      <c r="E19" s="2" t="str">
        <f ca="1">IFERROR(__xludf.DUMMYFUNCTION("""COMPUTED_VALUE"""),"มีปริมาตรวัตภาคบ้า(น้ำ)สูงกว่าวัตภาคน้ำมัน และระบบสารก่ออิมัลชัน (emulsifier system) มีค่า HLB ที่ต่ำ")</f>
        <v>มีปริมาตรวัตภาคบ้า(น้ำ)สูงกว่าวัตภาคน้ำมัน และระบบสารก่ออิมัลชัน (emulsifier system) มีค่า HLB ที่ต่ำ</v>
      </c>
      <c r="F19" s="2" t="str">
        <f ca="1">IFERROR(__xludf.DUMMYFUNCTION("""COMPUTED_VALUE"""),"มีปริมาตรวัตภาคน้ำมันสูงกว่าวัตภาคบ้า(น้ำ) และระบบสารก่ออิมัลชัน (emulsifier system) มีค่า HLB ที่สูง")</f>
        <v>มีปริมาตรวัตภาคน้ำมันสูงกว่าวัตภาคบ้า(น้ำ) และระบบสารก่ออิมัลชัน (emulsifier system) มีค่า HLB ที่สูง</v>
      </c>
      <c r="G19" s="2" t="str">
        <f ca="1">IFERROR(__xludf.DUMMYFUNCTION("""COMPUTED_VALUE"""),"มีปริมาตรวัตภาคน้ำมันสูงกว่าวัตภาคบ้า(น้ำ) และระบบสารก่ออิมัลชัน (emulsifier system) มีค่า HLB ที่ต่ำ")</f>
        <v>มีปริมาตรวัตภาคน้ำมันสูงกว่าวัตภาคบ้า(น้ำ) และระบบสารก่ออิมัลชัน (emulsifier system) มีค่า HLB ที่ต่ำ</v>
      </c>
      <c r="H19" s="2" t="str">
        <f ca="1">IFERROR(__xludf.DUMMYFUNCTION("""COMPUTED_VALUE"""),"มีปริมาตรวัตภาคน้ำมันและวัตภาคน้ำเท่าๆกัน และระบบสารก่ออิมัลชัน (emulsifier system) มีค่า HLB ที่สูง")</f>
        <v>มีปริมาตรวัตภาคน้ำมันและวัตภาคน้ำเท่าๆกัน และระบบสารก่ออิมัลชัน (emulsifier system) มีค่า HLB ที่สูง</v>
      </c>
      <c r="I19" s="2" t="str">
        <f ca="1">IFERROR(__xludf.DUMMYFUNCTION("""COMPUTED_VALUE"""),"1")</f>
        <v>1</v>
      </c>
      <c r="J19" s="2" t="str">
        <f ca="1">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9" s="2"/>
      <c r="L19" s="2" t="str">
        <f ca="1">IFERROR(__xludf.DUMMYFUNCTION("""COMPUTED_VALUE"""),"Tablet Manufacturing")</f>
        <v>Tablet Manufacturing</v>
      </c>
      <c r="M19" s="2" t="str">
        <f ca="1">IFERROR(__xludf.DUMMYFUNCTION("""COMPUTED_VALUE"""),"Product")</f>
        <v>Product</v>
      </c>
      <c r="N19" s="2" t="str">
        <f ca="1">IFERROR(__xludf.DUMMYFUNCTION("""COMPUTED_VALUE"""),"ข้อ 75 Pharma Plus เล่มม่วง (เฉลยข้อ ก)")</f>
        <v>ข้อ 75 Pharma Plus เล่มม่วง (เฉลยข้อ ก)</v>
      </c>
      <c r="O19" s="2" t="str">
        <f ca="1">IFERROR(__xludf.DUMMYFUNCTION("""COMPUTED_VALUE"""),"Mock")</f>
        <v>Mock</v>
      </c>
      <c r="P19" s="2" t="str">
        <f ca="1">IFERROR(__xludf.DUMMYFUNCTION("""COMPUTED_VALUE"""),"Pharma Plus เล่มม่วง")</f>
        <v>Pharma Plus เล่มม่วง</v>
      </c>
    </row>
    <row r="20" spans="1:16" ht="13.2" customHeight="1" x14ac:dyDescent="0.25">
      <c r="A20" s="2" t="str">
        <f ca="1">IFERROR(__xludf.DUMMYFUNCTION("""COMPUTED_VALUE"""),"76")</f>
        <v>76</v>
      </c>
      <c r="B20" s="2" t="str">
        <f ca="1">IFERROR(__xludf.DUMMYFUNCTION("""COMPUTED_VALUE"""),"ในการผลิตยาเม็ด gemfibrozil พบว่าเมื่อตอกแล้วยาเม็ดติดสาก แก้ไขโดยการเติมสารใด")</f>
        <v>ในการผลิตยาเม็ด gemfibrozil พบว่าเมื่อตอกแล้วยาเม็ดติดสาก แก้ไขโดยการเติมสารใด</v>
      </c>
      <c r="C20" s="2"/>
      <c r="D20" s="2" t="str">
        <f ca="1">IFERROR(__xludf.DUMMYFUNCTION("""COMPUTED_VALUE"""),"Lactose")</f>
        <v>Lactose</v>
      </c>
      <c r="E20" s="2" t="str">
        <f ca="1">IFERROR(__xludf.DUMMYFUNCTION("""COMPUTED_VALUE"""),"Calcium carbonate")</f>
        <v>Calcium carbonate</v>
      </c>
      <c r="F20" s="2" t="str">
        <f ca="1">IFERROR(__xludf.DUMMYFUNCTION("""COMPUTED_VALUE"""),"HPMC")</f>
        <v>HPMC</v>
      </c>
      <c r="G20" s="2" t="str">
        <f ca="1">IFERROR(__xludf.DUMMYFUNCTION("""COMPUTED_VALUE"""),"Magnesium stearate")</f>
        <v>Magnesium stearate</v>
      </c>
      <c r="H20" s="2" t="str">
        <f ca="1">IFERROR(__xludf.DUMMYFUNCTION("""COMPUTED_VALUE"""),"Alcohol")</f>
        <v>Alcohol</v>
      </c>
      <c r="I20" s="2" t="str">
        <f ca="1">IFERROR(__xludf.DUMMYFUNCTION("""COMPUTED_VALUE"""),"4")</f>
        <v>4</v>
      </c>
      <c r="J20" s="2" t="str">
        <f ca="1">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0" s="2"/>
      <c r="L20" s="2" t="str">
        <f ca="1">IFERROR(__xludf.DUMMYFUNCTION("""COMPUTED_VALUE"""),"Tablet Defects")</f>
        <v>Tablet Defects</v>
      </c>
      <c r="M20" s="2" t="str">
        <f ca="1">IFERROR(__xludf.DUMMYFUNCTION("""COMPUTED_VALUE"""),"Product")</f>
        <v>Product</v>
      </c>
      <c r="N20" s="2" t="str">
        <f ca="1">IFERROR(__xludf.DUMMYFUNCTION("""COMPUTED_VALUE"""),"ข้อ 76 Pharma Plus เล่มม่วง (เฉลยข้อ ง)")</f>
        <v>ข้อ 76 Pharma Plus เล่มม่วง (เฉลยข้อ ง)</v>
      </c>
      <c r="O20" s="2" t="str">
        <f ca="1">IFERROR(__xludf.DUMMYFUNCTION("""COMPUTED_VALUE"""),"Mock")</f>
        <v>Mock</v>
      </c>
      <c r="P20" s="2" t="str">
        <f ca="1">IFERROR(__xludf.DUMMYFUNCTION("""COMPUTED_VALUE"""),"Pharma Plus เล่มม่วง")</f>
        <v>Pharma Plus เล่มม่วง</v>
      </c>
    </row>
    <row r="21" spans="1:16" ht="13.2" customHeight="1" x14ac:dyDescent="0.25">
      <c r="A21" s="2" t="str">
        <f ca="1">IFERROR(__xludf.DUMMYFUNCTION("""COMPUTED_VALUE"""),"77")</f>
        <v>77</v>
      </c>
      <c r="B21" s="2" t="str">
        <f ca="1">IFERROR(__xludf.DUMMYFUNCTION("""COMPUTED_VALUE"""),"หากต้องการเพิ่มความสามารถในการแตกตัวของยาเม็ด colchicine ควรใช้สารใด")</f>
        <v>หากต้องการเพิ่มความสามารถในการแตกตัวของยาเม็ด colchicine ควรใช้สารใด</v>
      </c>
      <c r="C21" s="2"/>
      <c r="D21" s="2" t="str">
        <f ca="1">IFERROR(__xludf.DUMMYFUNCTION("""COMPUTED_VALUE"""),"Lactose")</f>
        <v>Lactose</v>
      </c>
      <c r="E21" s="2" t="str">
        <f ca="1">IFERROR(__xludf.DUMMYFUNCTION("""COMPUTED_VALUE"""),"Starch paste")</f>
        <v>Starch paste</v>
      </c>
      <c r="F21" s="2" t="str">
        <f ca="1">IFERROR(__xludf.DUMMYFUNCTION("""COMPUTED_VALUE"""),"Microcrystalline cellulose")</f>
        <v>Microcrystalline cellulose</v>
      </c>
      <c r="G21" s="2" t="str">
        <f ca="1">IFERROR(__xludf.DUMMYFUNCTION("""COMPUTED_VALUE"""),"Magnesium stearate")</f>
        <v>Magnesium stearate</v>
      </c>
      <c r="H21" s="2" t="str">
        <f ca="1">IFERROR(__xludf.DUMMYFUNCTION("""COMPUTED_VALUE"""),"Dicalcium phosphate")</f>
        <v>Dicalcium phosphate</v>
      </c>
      <c r="I21" s="2" t="str">
        <f ca="1">IFERROR(__xludf.DUMMYFUNCTION("""COMPUTED_VALUE"""),"3")</f>
        <v>3</v>
      </c>
      <c r="J21" s="2" t="str">
        <f ca="1">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1" s="2"/>
      <c r="L21" s="2" t="str">
        <f ca="1">IFERROR(__xludf.DUMMYFUNCTION("""COMPUTED_VALUE"""),"Tablet Manufacturing")</f>
        <v>Tablet Manufacturing</v>
      </c>
      <c r="M21" s="2" t="str">
        <f ca="1">IFERROR(__xludf.DUMMYFUNCTION("""COMPUTED_VALUE"""),"Product")</f>
        <v>Product</v>
      </c>
      <c r="N21" s="2" t="str">
        <f ca="1">IFERROR(__xludf.DUMMYFUNCTION("""COMPUTED_VALUE"""),"ข้อ 77 Pharma Plus เล่มม่วง (เฉลยข้อ ค)")</f>
        <v>ข้อ 77 Pharma Plus เล่มม่วง (เฉลยข้อ ค)</v>
      </c>
      <c r="O21" s="2" t="str">
        <f ca="1">IFERROR(__xludf.DUMMYFUNCTION("""COMPUTED_VALUE"""),"Mock")</f>
        <v>Mock</v>
      </c>
      <c r="P21" s="2" t="str">
        <f ca="1">IFERROR(__xludf.DUMMYFUNCTION("""COMPUTED_VALUE"""),"Pharma Plus เล่มม่วง")</f>
        <v>Pharma Plus เล่มม่วง</v>
      </c>
    </row>
    <row r="22" spans="1:16" ht="13.2" customHeight="1" x14ac:dyDescent="0.25">
      <c r="A22" s="2" t="str">
        <f ca="1">IFERROR(__xludf.DUMMYFUNCTION("""COMPUTED_VALUE"""),"78")</f>
        <v>78</v>
      </c>
      <c r="B22" s="2" t="str">
        <f ca="1">IFERROR(__xludf.DUMMYFUNCTION("""COMPUTED_VALUE"""),"ในการควบคุมคุณภาพของยาเม็ด colchicine tablet 0.6 mg ตามข้อกำหนดใน USP สิ่งที่ไม่ต้องทำคือ")</f>
        <v>ในการควบคุมคุณภาพของยาเม็ด colchicine tablet 0.6 mg ตามข้อกำหนดใน USP สิ่งที่ไม่ต้องทำคือ</v>
      </c>
      <c r="C22" s="2"/>
      <c r="D22" s="2" t="str">
        <f ca="1">IFERROR(__xludf.DUMMYFUNCTION("""COMPUTED_VALUE"""),"Friability test")</f>
        <v>Friability test</v>
      </c>
      <c r="E22" s="2" t="str">
        <f ca="1">IFERROR(__xludf.DUMMYFUNCTION("""COMPUTED_VALUE"""),"Content uniformity")</f>
        <v>Content uniformity</v>
      </c>
      <c r="F22" s="2" t="str">
        <f ca="1">IFERROR(__xludf.DUMMYFUNCTION("""COMPUTED_VALUE"""),"Weight variation")</f>
        <v>Weight variation</v>
      </c>
      <c r="G22" s="2" t="str">
        <f ca="1">IFERROR(__xludf.DUMMYFUNCTION("""COMPUTED_VALUE"""),"Dissolution test")</f>
        <v>Dissolution test</v>
      </c>
      <c r="H22" s="2" t="str">
        <f ca="1">IFERROR(__xludf.DUMMYFUNCTION("""COMPUTED_VALUE"""),"Disintegration test")</f>
        <v>Disintegration test</v>
      </c>
      <c r="I22" s="2" t="str">
        <f ca="1">IFERROR(__xludf.DUMMYFUNCTION("""COMPUTED_VALUE"""),"1")</f>
        <v>1</v>
      </c>
      <c r="J22" s="2" t="str">
        <f ca="1">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2" s="2"/>
      <c r="L22" s="2" t="str">
        <f ca="1">IFERROR(__xludf.DUMMYFUNCTION("""COMPUTED_VALUE"""),"Tablet Manufacturing")</f>
        <v>Tablet Manufacturing</v>
      </c>
      <c r="M22" s="2" t="str">
        <f ca="1">IFERROR(__xludf.DUMMYFUNCTION("""COMPUTED_VALUE"""),"Product")</f>
        <v>Product</v>
      </c>
      <c r="N22" s="2" t="str">
        <f ca="1">IFERROR(__xludf.DUMMYFUNCTION("""COMPUTED_VALUE"""),"ข้อ 78 Pharma Plus เล่มม่วง (เฉลยข้อ ก)")</f>
        <v>ข้อ 78 Pharma Plus เล่มม่วง (เฉลยข้อ ก)</v>
      </c>
      <c r="O22" s="2" t="str">
        <f ca="1">IFERROR(__xludf.DUMMYFUNCTION("""COMPUTED_VALUE"""),"Mock")</f>
        <v>Mock</v>
      </c>
      <c r="P22" s="2" t="str">
        <f ca="1">IFERROR(__xludf.DUMMYFUNCTION("""COMPUTED_VALUE"""),"Pharma Plus เล่มม่วง")</f>
        <v>Pharma Plus เล่มม่วง</v>
      </c>
    </row>
    <row r="23" spans="1:16" ht="13.2" customHeight="1" x14ac:dyDescent="0.25">
      <c r="A23" s="2" t="str">
        <f ca="1">IFERROR(__xludf.DUMMYFUNCTION("""COMPUTED_VALUE"""),"79")</f>
        <v>79</v>
      </c>
      <c r="B23" s="2" t="str">
        <f ca="1">IFERROR(__xludf.DUMMYFUNCTION("""COMPUTED_VALUE"""),"ถ้าต้องการเตรียมยา Intra-arthricular corticosteroids (ampule) ต้องผ่านการควบคุมคุณภาพต่อไปนี้ ยกเว้นข้อใด")</f>
        <v>ถ้าต้องการเตรียมยา Intra-arthricular corticosteroids (ampule) ต้องผ่านการควบคุมคุณภาพต่อไปนี้ ยกเว้นข้อใด</v>
      </c>
      <c r="C23" s="2"/>
      <c r="D23" s="2" t="str">
        <f ca="1">IFERROR(__xludf.DUMMYFUNCTION("""COMPUTED_VALUE"""),"Sterility test")</f>
        <v>Sterility test</v>
      </c>
      <c r="E23" s="2" t="str">
        <f ca="1">IFERROR(__xludf.DUMMYFUNCTION("""COMPUTED_VALUE"""),"Clarity test")</f>
        <v>Clarity test</v>
      </c>
      <c r="F23" s="2" t="str">
        <f ca="1">IFERROR(__xludf.DUMMYFUNCTION("""COMPUTED_VALUE"""),"Pyrogen test")</f>
        <v>Pyrogen test</v>
      </c>
      <c r="G23" s="2" t="str">
        <f ca="1">IFERROR(__xludf.DUMMYFUNCTION("""COMPUTED_VALUE"""),"Compatibility test")</f>
        <v>Compatibility test</v>
      </c>
      <c r="H23" s="2" t="str">
        <f ca="1">IFERROR(__xludf.DUMMYFUNCTION("""COMPUTED_VALUE"""),"Leaker test")</f>
        <v>Leaker test</v>
      </c>
      <c r="I23" s="2" t="str">
        <f ca="1">IFERROR(__xludf.DUMMYFUNCTION("""COMPUTED_VALUE"""),"4")</f>
        <v>4</v>
      </c>
      <c r="J23" s="2" t="str">
        <f ca="1">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3" s="2"/>
      <c r="L23" s="2" t="str">
        <f ca="1">IFERROR(__xludf.DUMMYFUNCTION("""COMPUTED_VALUE"""),"Tablet Manufacturing")</f>
        <v>Tablet Manufacturing</v>
      </c>
      <c r="M23" s="2" t="str">
        <f ca="1">IFERROR(__xludf.DUMMYFUNCTION("""COMPUTED_VALUE"""),"Product")</f>
        <v>Product</v>
      </c>
      <c r="N23" s="2" t="str">
        <f ca="1">IFERROR(__xludf.DUMMYFUNCTION("""COMPUTED_VALUE"""),"ข้อ 79 Pharma Plus เล่มม่วง (เฉลยข้อ ง)")</f>
        <v>ข้อ 79 Pharma Plus เล่มม่วง (เฉลยข้อ ง)</v>
      </c>
      <c r="O23" s="2" t="str">
        <f ca="1">IFERROR(__xludf.DUMMYFUNCTION("""COMPUTED_VALUE"""),"Mock")</f>
        <v>Mock</v>
      </c>
      <c r="P23" s="2" t="str">
        <f ca="1">IFERROR(__xludf.DUMMYFUNCTION("""COMPUTED_VALUE"""),"Pharma Plus เล่มม่วง")</f>
        <v>Pharma Plus เล่มม่วง</v>
      </c>
    </row>
    <row r="24" spans="1:16" ht="13.2" customHeight="1" x14ac:dyDescent="0.25">
      <c r="A24" s="2" t="str">
        <f ca="1">IFERROR(__xludf.DUMMYFUNCTION("""COMPUTED_VALUE"""),"80")</f>
        <v>80</v>
      </c>
      <c r="B24" s="2" t="str">
        <f ca="1">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v>
      </c>
      <c r="C24" s="2"/>
      <c r="D24" s="2" t="str">
        <f ca="1">IFERROR(__xludf.DUMMYFUNCTION("""COMPUTED_VALUE"""),"0.8 g")</f>
        <v>0.8 g</v>
      </c>
      <c r="E24" s="2" t="str">
        <f ca="1">IFERROR(__xludf.DUMMYFUNCTION("""COMPUTED_VALUE"""),"1.2 g")</f>
        <v>1.2 g</v>
      </c>
      <c r="F24" s="2" t="str">
        <f ca="1">IFERROR(__xludf.DUMMYFUNCTION("""COMPUTED_VALUE"""),"1.5 g")</f>
        <v>1.5 g</v>
      </c>
      <c r="G24" s="2" t="str">
        <f ca="1">IFERROR(__xludf.DUMMYFUNCTION("""COMPUTED_VALUE"""),"2.2 g")</f>
        <v>2.2 g</v>
      </c>
      <c r="H24" s="2" t="str">
        <f ca="1">IFERROR(__xludf.DUMMYFUNCTION("""COMPUTED_VALUE"""),"3.0 g")</f>
        <v>3.0 g</v>
      </c>
      <c r="I24" s="2" t="str">
        <f ca="1">IFERROR(__xludf.DUMMYFUNCTION("""COMPUTED_VALUE"""),"4")</f>
        <v>4</v>
      </c>
      <c r="J24" s="2" t="str">
        <f ca="1">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4" s="2"/>
      <c r="L24" s="2" t="str">
        <f ca="1">IFERROR(__xludf.DUMMYFUNCTION("""COMPUTED_VALUE"""),"Tablet Manufacturing")</f>
        <v>Tablet Manufacturing</v>
      </c>
      <c r="M24" s="2" t="str">
        <f ca="1">IFERROR(__xludf.DUMMYFUNCTION("""COMPUTED_VALUE"""),"Product")</f>
        <v>Product</v>
      </c>
      <c r="N24" s="2" t="str">
        <f ca="1">IFERROR(__xludf.DUMMYFUNCTION("""COMPUTED_VALUE"""),"ข้อ 80 Pharma Plus เล่มม่วง (เฉลยข้อ ง)")</f>
        <v>ข้อ 80 Pharma Plus เล่มม่วง (เฉลยข้อ ง)</v>
      </c>
      <c r="O24" s="2" t="str">
        <f ca="1">IFERROR(__xludf.DUMMYFUNCTION("""COMPUTED_VALUE"""),"Mock")</f>
        <v>Mock</v>
      </c>
      <c r="P24" s="2" t="str">
        <f ca="1">IFERROR(__xludf.DUMMYFUNCTION("""COMPUTED_VALUE"""),"Pharma Plus เล่มม่วง")</f>
        <v>Pharma Plus เล่มม่วง</v>
      </c>
    </row>
    <row r="25" spans="1:16" ht="13.2" customHeight="1" x14ac:dyDescent="0.25">
      <c r="A25" s="2" t="str">
        <f ca="1">IFERROR(__xludf.DUMMYFUNCTION("""COMPUTED_VALUE"""),"81")</f>
        <v>81</v>
      </c>
      <c r="B25" s="2" t="str">
        <f ca="1">IFERROR(__xludf.DUMMYFUNCTION("""COMPUTED_VALUE"""),"ผู้ป่วยควรเก็บ insulin ที่ภาวะใด")</f>
        <v>ผู้ป่วยควรเก็บ insulin ที่ภาวะใด</v>
      </c>
      <c r="C25" s="2"/>
      <c r="D25" s="2" t="str">
        <f ca="1">IFERROR(__xludf.DUMMYFUNCTION("""COMPUTED_VALUE"""),"Cold")</f>
        <v>Cold</v>
      </c>
      <c r="E25" s="2" t="str">
        <f ca="1">IFERROR(__xludf.DUMMYFUNCTION("""COMPUTED_VALUE"""),"Refrigerator")</f>
        <v>Refrigerator</v>
      </c>
      <c r="F25" s="2" t="str">
        <f ca="1">IFERROR(__xludf.DUMMYFUNCTION("""COMPUTED_VALUE"""),"Cool")</f>
        <v>Cool</v>
      </c>
      <c r="G25" s="2" t="str">
        <f ca="1">IFERROR(__xludf.DUMMYFUNCTION("""COMPUTED_VALUE"""),"Room temperature")</f>
        <v>Room temperature</v>
      </c>
      <c r="H25" s="2" t="str">
        <f ca="1">IFERROR(__xludf.DUMMYFUNCTION("""COMPUTED_VALUE"""),"Warm")</f>
        <v>Warm</v>
      </c>
      <c r="I25" s="2" t="str">
        <f ca="1">IFERROR(__xludf.DUMMYFUNCTION("""COMPUTED_VALUE"""),"2")</f>
        <v>2</v>
      </c>
      <c r="J25" s="2" t="str">
        <f ca="1">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5" s="2"/>
      <c r="L25" s="2" t="str">
        <f ca="1">IFERROR(__xludf.DUMMYFUNCTION("""COMPUTED_VALUE"""),"Tablet Manufacturing")</f>
        <v>Tablet Manufacturing</v>
      </c>
      <c r="M25" s="2" t="str">
        <f ca="1">IFERROR(__xludf.DUMMYFUNCTION("""COMPUTED_VALUE"""),"Product")</f>
        <v>Product</v>
      </c>
      <c r="N25" s="2" t="str">
        <f ca="1">IFERROR(__xludf.DUMMYFUNCTION("""COMPUTED_VALUE"""),"ข้อ 81 Pharma Plus เล่มม่วง (เฉลยข้อ ข)")</f>
        <v>ข้อ 81 Pharma Plus เล่มม่วง (เฉลยข้อ ข)</v>
      </c>
      <c r="O25" s="2" t="str">
        <f ca="1">IFERROR(__xludf.DUMMYFUNCTION("""COMPUTED_VALUE"""),"Mock")</f>
        <v>Mock</v>
      </c>
      <c r="P25" s="2" t="str">
        <f ca="1">IFERROR(__xludf.DUMMYFUNCTION("""COMPUTED_VALUE"""),"Pharma Plus เล่มม่วง")</f>
        <v>Pharma Plus เล่มม่วง</v>
      </c>
    </row>
    <row r="26" spans="1:16" ht="13.2" customHeight="1" x14ac:dyDescent="0.25">
      <c r="A26" s="2" t="str">
        <f ca="1">IFERROR(__xludf.DUMMYFUNCTION("""COMPUTED_VALUE"""),"82")</f>
        <v>82</v>
      </c>
      <c r="B26" s="2" t="str">
        <f ca="1">IFERROR(__xludf.DUMMYFUNCTION("""COMPUTED_VALUE"""),"ท่านคิดว่า metformin tablet ไม่จำเป็นต้องทำ finished product quality control ข้อใด")</f>
        <v>ท่านคิดว่า metformin tablet ไม่จำเป็นต้องทำ finished product quality control ข้อใด</v>
      </c>
      <c r="C26" s="2"/>
      <c r="D26" s="2" t="str">
        <f ca="1">IFERROR(__xludf.DUMMYFUNCTION("""COMPUTED_VALUE"""),"Friability test")</f>
        <v>Friability test</v>
      </c>
      <c r="E26" s="2" t="str">
        <f ca="1">IFERROR(__xludf.DUMMYFUNCTION("""COMPUTED_VALUE"""),"Disintegration test")</f>
        <v>Disintegration test</v>
      </c>
      <c r="F26" s="2" t="str">
        <f ca="1">IFERROR(__xludf.DUMMYFUNCTION("""COMPUTED_VALUE"""),"Dissolution test")</f>
        <v>Dissolution test</v>
      </c>
      <c r="G26" s="2" t="str">
        <f ca="1">IFERROR(__xludf.DUMMYFUNCTION("""COMPUTED_VALUE"""),"Freeze-thaw cycle")</f>
        <v>Freeze-thaw cycle</v>
      </c>
      <c r="H26" s="2" t="str">
        <f ca="1">IFERROR(__xludf.DUMMYFUNCTION("""COMPUTED_VALUE"""),"Weight variation")</f>
        <v>Weight variation</v>
      </c>
      <c r="I26" s="2" t="str">
        <f ca="1">IFERROR(__xludf.DUMMYFUNCTION("""COMPUTED_VALUE"""),"1")</f>
        <v>1</v>
      </c>
      <c r="J26" s="2" t="str">
        <f ca="1">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6" s="2"/>
      <c r="L26" s="2" t="str">
        <f ca="1">IFERROR(__xludf.DUMMYFUNCTION("""COMPUTED_VALUE"""),"Tablet Manufacturing")</f>
        <v>Tablet Manufacturing</v>
      </c>
      <c r="M26" s="2" t="str">
        <f ca="1">IFERROR(__xludf.DUMMYFUNCTION("""COMPUTED_VALUE"""),"Product")</f>
        <v>Product</v>
      </c>
      <c r="N26" s="2" t="str">
        <f ca="1">IFERROR(__xludf.DUMMYFUNCTION("""COMPUTED_VALUE"""),"ข้อ 82 Pharma Plus เล่มม่วง (เฉลยข้อ ก)")</f>
        <v>ข้อ 82 Pharma Plus เล่มม่วง (เฉลยข้อ ก)</v>
      </c>
      <c r="O26" s="2" t="str">
        <f ca="1">IFERROR(__xludf.DUMMYFUNCTION("""COMPUTED_VALUE"""),"Mock")</f>
        <v>Mock</v>
      </c>
      <c r="P26" s="2" t="str">
        <f ca="1">IFERROR(__xludf.DUMMYFUNCTION("""COMPUTED_VALUE"""),"Pharma Plus เล่มม่วง")</f>
        <v>Pharma Plus เล่มม่วง</v>
      </c>
    </row>
    <row r="27" spans="1:16" ht="13.2" customHeight="1" x14ac:dyDescent="0.25">
      <c r="A27" s="2" t="str">
        <f ca="1">IFERROR(__xludf.DUMMYFUNCTION("""COMPUTED_VALUE"""),"83")</f>
        <v>83</v>
      </c>
      <c r="B27" s="2" t="str">
        <f ca="1">IFERROR(__xludf.DUMMYFUNCTION("""COMPUTED_VALUE"""),"ข้อใดไม่ใช่ข้อดีของการทำ film coated tablet ที่เหนือกว่า sugar coated tablet")</f>
        <v>ข้อใดไม่ใช่ข้อดีของการทำ film coated tablet ที่เหนือกว่า sugar coated tablet</v>
      </c>
      <c r="C27" s="2"/>
      <c r="D27" s="2" t="str">
        <f ca="1">IFERROR(__xludf.DUMMYFUNCTION("""COMPUTED_VALUE"""),"น้ำหนักของเม็ดยาเพิ่มมากขึ้น มากกว่า sugar coated tablet เนื่องจาก material ที่ใช้เป็นสารสังเคราะห์ที่มีน้ำหนักโมเลกุลสูง")</f>
        <v>น้ำหนักของเม็ดยาเพิ่มมากขึ้น มากกว่า sugar coated tablet เนื่องจาก material ที่ใช้เป็นสารสังเคราะห์ที่มีน้ำหนักโมเลกุลสูง</v>
      </c>
      <c r="E27" s="2" t="str">
        <f ca="1">IFERROR(__xludf.DUMMYFUNCTION("""COMPUTED_VALUE"""),"พื้นผิวเม็ดยามีความเรียบและ สีสม่ำเสมอกว่า sugar coated tablet")</f>
        <v>พื้นผิวเม็ดยามีความเรียบและ สีสม่ำเสมอกว่า sugar coated tablet</v>
      </c>
      <c r="F27" s="2" t="str">
        <f ca="1">IFERROR(__xludf.DUMMYFUNCTION("""COMPUTED_VALUE"""),"กระบวนการทำ film coated tablet รวดเร็วกว่า sugar coated tablet")</f>
        <v>กระบวนการทำ film coated tablet รวดเร็วกว่า sugar coated tablet</v>
      </c>
      <c r="G27" s="2" t="str">
        <f ca="1">IFERROR(__xludf.DUMMYFUNCTION("""COMPUTED_VALUE"""),"กระบวนการทำ film coated tablet ไม่เกิดปัญหา dead spot")</f>
        <v>กระบวนการทำ film coated tablet ไม่เกิดปัญหา dead spot</v>
      </c>
      <c r="H27" s="2" t="str">
        <f ca="1">IFERROR(__xludf.DUMMYFUNCTION("""COMPUTED_VALUE"""),"film coated tabletไม่มีการทำ polishing ด้วย wax จึงไม่เกิดปัญหาที่เรียกว่า marbled เหมือน sugar coated tablet")</f>
        <v>film coated tabletไม่มีการทำ polishing ด้วย wax จึงไม่เกิดปัญหาที่เรียกว่า marbled เหมือน sugar coated tablet</v>
      </c>
      <c r="I27" s="2" t="str">
        <f ca="1">IFERROR(__xludf.DUMMYFUNCTION("""COMPUTED_VALUE"""),"1")</f>
        <v>1</v>
      </c>
      <c r="J27" s="2" t="str">
        <f ca="1">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7" s="2"/>
      <c r="L27" s="2" t="str">
        <f ca="1">IFERROR(__xludf.DUMMYFUNCTION("""COMPUTED_VALUE"""),"Tablet Coating")</f>
        <v>Tablet Coating</v>
      </c>
      <c r="M27" s="2" t="str">
        <f ca="1">IFERROR(__xludf.DUMMYFUNCTION("""COMPUTED_VALUE"""),"Product")</f>
        <v>Product</v>
      </c>
      <c r="N27" s="2" t="str">
        <f ca="1">IFERROR(__xludf.DUMMYFUNCTION("""COMPUTED_VALUE"""),"ข้อ 83 Pharma Plus เล่มม่วง (เฉลยข้อ ก)")</f>
        <v>ข้อ 83 Pharma Plus เล่มม่วง (เฉลยข้อ ก)</v>
      </c>
      <c r="O27" s="2" t="str">
        <f ca="1">IFERROR(__xludf.DUMMYFUNCTION("""COMPUTED_VALUE"""),"Mock")</f>
        <v>Mock</v>
      </c>
      <c r="P27" s="2" t="str">
        <f ca="1">IFERROR(__xludf.DUMMYFUNCTION("""COMPUTED_VALUE"""),"Pharma Plus เล่มม่วง")</f>
        <v>Pharma Plus เล่มม่วง</v>
      </c>
    </row>
    <row r="28" spans="1:16" ht="13.2" customHeight="1" x14ac:dyDescent="0.25">
      <c r="A28" s="2" t="str">
        <f ca="1">IFERROR(__xludf.DUMMYFUNCTION("""COMPUTED_VALUE"""),"96")</f>
        <v>96</v>
      </c>
      <c r="B28" s="2" t="str">
        <f ca="1">IFERROR(__xludf.DUMMYFUNCTION("""COMPUTED_VALUE"""),"Antacid เป็นยาเตรียมประเภทใด")</f>
        <v>Antacid เป็นยาเตรียมประเภทใด</v>
      </c>
      <c r="C28" s="2"/>
      <c r="D28" s="2" t="str">
        <f ca="1">IFERROR(__xludf.DUMMYFUNCTION("""COMPUTED_VALUE"""),"Gel")</f>
        <v>Gel</v>
      </c>
      <c r="E28" s="2" t="str">
        <f ca="1">IFERROR(__xludf.DUMMYFUNCTION("""COMPUTED_VALUE"""),"Emulsion")</f>
        <v>Emulsion</v>
      </c>
      <c r="F28" s="2" t="str">
        <f ca="1">IFERROR(__xludf.DUMMYFUNCTION("""COMPUTED_VALUE"""),"Suspension")</f>
        <v>Suspension</v>
      </c>
      <c r="G28" s="2" t="str">
        <f ca="1">IFERROR(__xludf.DUMMYFUNCTION("""COMPUTED_VALUE"""),"Solution")</f>
        <v>Solution</v>
      </c>
      <c r="H28" s="2" t="str">
        <f ca="1">IFERROR(__xludf.DUMMYFUNCTION("""COMPUTED_VALUE"""),"Elixir")</f>
        <v>Elixir</v>
      </c>
      <c r="I28" s="2" t="str">
        <f ca="1">IFERROR(__xludf.DUMMYFUNCTION("""COMPUTED_VALUE"""),"3")</f>
        <v>3</v>
      </c>
      <c r="J28" s="2" t="str">
        <f ca="1">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8" s="2"/>
      <c r="L28" s="2" t="str">
        <f ca="1">IFERROR(__xludf.DUMMYFUNCTION("""COMPUTED_VALUE"""),"Tablet Manufacturing")</f>
        <v>Tablet Manufacturing</v>
      </c>
      <c r="M28" s="2" t="str">
        <f ca="1">IFERROR(__xludf.DUMMYFUNCTION("""COMPUTED_VALUE"""),"Product")</f>
        <v>Product</v>
      </c>
      <c r="N28" s="2" t="str">
        <f ca="1">IFERROR(__xludf.DUMMYFUNCTION("""COMPUTED_VALUE"""),"ข้อ 96 Pharma Plus เล่มม่วง (เฉลยข้อ ค)")</f>
        <v>ข้อ 96 Pharma Plus เล่มม่วง (เฉลยข้อ ค)</v>
      </c>
      <c r="O28" s="2" t="str">
        <f ca="1">IFERROR(__xludf.DUMMYFUNCTION("""COMPUTED_VALUE"""),"Mock")</f>
        <v>Mock</v>
      </c>
      <c r="P28" s="2" t="str">
        <f ca="1">IFERROR(__xludf.DUMMYFUNCTION("""COMPUTED_VALUE"""),"Pharma Plus เล่มม่วง")</f>
        <v>Pharma Plus เล่มม่วง</v>
      </c>
    </row>
    <row r="29" spans="1:16" ht="13.2" customHeight="1" x14ac:dyDescent="0.25">
      <c r="A29" s="2" t="str">
        <f ca="1">IFERROR(__xludf.DUMMYFUNCTION("""COMPUTED_VALUE"""),"97")</f>
        <v>97</v>
      </c>
      <c r="B29" s="2" t="str">
        <f ca="1">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v>
      </c>
      <c r="C29" s="2"/>
      <c r="D29" s="2" t="str">
        <f ca="1">IFERROR(__xludf.DUMMYFUNCTION("""COMPUTED_VALUE"""),"Hard Gelatin Capsule filling")</f>
        <v>Hard Gelatin Capsule filling</v>
      </c>
      <c r="E29" s="2" t="str">
        <f ca="1">IFERROR(__xludf.DUMMYFUNCTION("""COMPUTED_VALUE"""),"Soft Gelatin Capsule encapsulation")</f>
        <v>Soft Gelatin Capsule encapsulation</v>
      </c>
      <c r="F29" s="2" t="str">
        <f ca="1">IFERROR(__xludf.DUMMYFUNCTION("""COMPUTED_VALUE"""),"1 และ 3")</f>
        <v>1 และ 3</v>
      </c>
      <c r="G29" s="2" t="str">
        <f ca="1">IFERROR(__xludf.DUMMYFUNCTION("""COMPUTED_VALUE"""),"2 และ 3")</f>
        <v>2 และ 3</v>
      </c>
      <c r="H29" s="2" t="str">
        <f ca="1">IFERROR(__xludf.DUMMYFUNCTION("""COMPUTED_VALUE"""),"ไม่มีข้อใดถูก")</f>
        <v>ไม่มีข้อใดถูก</v>
      </c>
      <c r="I29" s="2" t="str">
        <f ca="1">IFERROR(__xludf.DUMMYFUNCTION("""COMPUTED_VALUE"""),"3")</f>
        <v>3</v>
      </c>
      <c r="J29" s="2" t="str">
        <f ca="1">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29" s="2"/>
      <c r="L29" s="2" t="str">
        <f ca="1">IFERROR(__xludf.DUMMYFUNCTION("""COMPUTED_VALUE"""),"Tablet Manufacturing")</f>
        <v>Tablet Manufacturing</v>
      </c>
      <c r="M29" s="2" t="str">
        <f ca="1">IFERROR(__xludf.DUMMYFUNCTION("""COMPUTED_VALUE"""),"Product")</f>
        <v>Product</v>
      </c>
      <c r="N29" s="2" t="str">
        <f ca="1">IFERROR(__xludf.DUMMYFUNCTION("""COMPUTED_VALUE"""),"ข้อ 97 Pharma Plus เล่มม่วง (เฉลยข้อ ค)")</f>
        <v>ข้อ 97 Pharma Plus เล่มม่วง (เฉลยข้อ ค)</v>
      </c>
      <c r="O29" s="2" t="str">
        <f ca="1">IFERROR(__xludf.DUMMYFUNCTION("""COMPUTED_VALUE"""),"Mock")</f>
        <v>Mock</v>
      </c>
      <c r="P29" s="2" t="str">
        <f ca="1">IFERROR(__xludf.DUMMYFUNCTION("""COMPUTED_VALUE"""),"Pharma Plus เล่มม่วง")</f>
        <v>Pharma Plus เล่มม่วง</v>
      </c>
    </row>
    <row r="30" spans="1:16" ht="13.2" customHeight="1" x14ac:dyDescent="0.25">
      <c r="A30" s="2" t="str">
        <f ca="1">IFERROR(__xludf.DUMMYFUNCTION("""COMPUTED_VALUE"""),"98")</f>
        <v>98</v>
      </c>
      <c r="B30" s="2" t="str">
        <f ca="1">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v>
      </c>
      <c r="C30" s="2"/>
      <c r="D30" s="2" t="str">
        <f ca="1">IFERROR(__xludf.DUMMYFUNCTION("""COMPUTED_VALUE"""),"Very soluble")</f>
        <v>Very soluble</v>
      </c>
      <c r="E30" s="2" t="str">
        <f ca="1">IFERROR(__xludf.DUMMYFUNCTION("""COMPUTED_VALUE"""),"Sparingly soluble")</f>
        <v>Sparingly soluble</v>
      </c>
      <c r="F30" s="2" t="str">
        <f ca="1">IFERROR(__xludf.DUMMYFUNCTION("""COMPUTED_VALUE"""),"Soluble")</f>
        <v>Soluble</v>
      </c>
      <c r="G30" s="2" t="str">
        <f ca="1">IFERROR(__xludf.DUMMYFUNCTION("""COMPUTED_VALUE"""),"Freely soluble")</f>
        <v>Freely soluble</v>
      </c>
      <c r="H30" s="2" t="str">
        <f ca="1">IFERROR(__xludf.DUMMYFUNCTION("""COMPUTED_VALUE"""),"Insoluble")</f>
        <v>Insoluble</v>
      </c>
      <c r="I30" s="2" t="str">
        <f ca="1">IFERROR(__xludf.DUMMYFUNCTION("""COMPUTED_VALUE"""),"3")</f>
        <v>3</v>
      </c>
      <c r="J30" s="2" t="str">
        <f ca="1">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0" s="2"/>
      <c r="L30" s="2" t="str">
        <f ca="1">IFERROR(__xludf.DUMMYFUNCTION("""COMPUTED_VALUE"""),"Tablet Manufacturing")</f>
        <v>Tablet Manufacturing</v>
      </c>
      <c r="M30" s="2" t="str">
        <f ca="1">IFERROR(__xludf.DUMMYFUNCTION("""COMPUTED_VALUE"""),"Product")</f>
        <v>Product</v>
      </c>
      <c r="N30" s="2" t="str">
        <f ca="1">IFERROR(__xludf.DUMMYFUNCTION("""COMPUTED_VALUE"""),"ข้อ 98 Pharma Plus เล่มม่วง (เฉลยข้อ ค)")</f>
        <v>ข้อ 98 Pharma Plus เล่มม่วง (เฉลยข้อ ค)</v>
      </c>
      <c r="O30" s="2" t="str">
        <f ca="1">IFERROR(__xludf.DUMMYFUNCTION("""COMPUTED_VALUE"""),"Mock")</f>
        <v>Mock</v>
      </c>
      <c r="P30" s="2" t="str">
        <f ca="1">IFERROR(__xludf.DUMMYFUNCTION("""COMPUTED_VALUE"""),"Pharma Plus เล่มม่วง")</f>
        <v>Pharma Plus เล่มม่วง</v>
      </c>
    </row>
    <row r="31" spans="1:16" ht="13.2" customHeight="1" x14ac:dyDescent="0.25">
      <c r="A31" s="2" t="str">
        <f ca="1">IFERROR(__xludf.DUMMYFUNCTION("""COMPUTED_VALUE"""),"99")</f>
        <v>99</v>
      </c>
      <c r="B31" s="2" t="str">
        <f ca="1">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ในการตอก ciprofloxacin tablet พบว่าผงยาไหลไม่ดี เภสัชกรฝ่าย R&amp;D อย่างท่านควรพัฒนาสูตรตำรับอย่างไรจึงจะเหมาะสม</v>
      </c>
      <c r="C31" s="2"/>
      <c r="D31" s="2" t="str">
        <f ca="1">IFERROR(__xludf.DUMMYFUNCTION("""COMPUTED_VALUE"""),"เปลี่ยนสูตรตำรับเป็นยาน้ำ")</f>
        <v>เปลี่ยนสูตรตำรับเป็นยาน้ำ</v>
      </c>
      <c r="E31" s="2" t="str">
        <f ca="1">IFERROR(__xludf.DUMMYFUNCTION("""COMPUTED_VALUE"""),"ทำ wet granulation")</f>
        <v>ทำ wet granulation</v>
      </c>
      <c r="F31" s="2" t="str">
        <f ca="1">IFERROR(__xludf.DUMMYFUNCTION("""COMPUTED_VALUE"""),"นำไปผ่าน sieve เพื่อคัดขนาดอนุภาค")</f>
        <v>นำไปผ่าน sieve เพื่อคัดขนาดอนุภาค</v>
      </c>
      <c r="G31" s="2" t="str">
        <f ca="1">IFERROR(__xludf.DUMMYFUNCTION("""COMPUTED_VALUE"""),"เพิ่มแรงตอก")</f>
        <v>เพิ่มแรงตอก</v>
      </c>
      <c r="H31" s="2" t="str">
        <f ca="1">IFERROR(__xludf.DUMMYFUNCTION("""COMPUTED_VALUE"""),"เพิ่ม diluent")</f>
        <v>เพิ่ม diluent</v>
      </c>
      <c r="I31" s="2" t="str">
        <f ca="1">IFERROR(__xludf.DUMMYFUNCTION("""COMPUTED_VALUE"""),"2")</f>
        <v>2</v>
      </c>
      <c r="J31" s="2" t="str">
        <f ca="1">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1" s="2"/>
      <c r="L31" s="2" t="str">
        <f ca="1">IFERROR(__xludf.DUMMYFUNCTION("""COMPUTED_VALUE"""),"Powders &amp; Granules")</f>
        <v>Powders &amp; Granules</v>
      </c>
      <c r="M31" s="2" t="str">
        <f ca="1">IFERROR(__xludf.DUMMYFUNCTION("""COMPUTED_VALUE"""),"Product")</f>
        <v>Product</v>
      </c>
      <c r="N31" s="2" t="str">
        <f ca="1">IFERROR(__xludf.DUMMYFUNCTION("""COMPUTED_VALUE"""),"ข้อ 99 Pharma Plus เล่มม่วง (เฉลยข้อ ข)")</f>
        <v>ข้อ 99 Pharma Plus เล่มม่วง (เฉลยข้อ ข)</v>
      </c>
      <c r="O31" s="2" t="str">
        <f ca="1">IFERROR(__xludf.DUMMYFUNCTION("""COMPUTED_VALUE"""),"Mock")</f>
        <v>Mock</v>
      </c>
      <c r="P31" s="2" t="str">
        <f ca="1">IFERROR(__xludf.DUMMYFUNCTION("""COMPUTED_VALUE"""),"Pharma Plus เล่มม่วง")</f>
        <v>Pharma Plus เล่มม่วง</v>
      </c>
    </row>
    <row r="32" spans="1:16" ht="13.2" customHeight="1" x14ac:dyDescent="0.25">
      <c r="A32" s="2" t="str">
        <f ca="1">IFERROR(__xludf.DUMMYFUNCTION("""COMPUTED_VALUE"""),"100")</f>
        <v>100</v>
      </c>
      <c r="B32" s="2" t="str">
        <f ca="1">IFERROR(__xludf.DUMMYFUNCTION("""COMPUTED_VALUE"""),"เภสัชกรผู้หนึ่งทำการสุ่ม atenolol tablets ระหว่างการผลิตพบว่ายาเม็ดเกิดการแยกฝา เรียกปรากฏการณ์นี้ว่า")</f>
        <v>เภสัชกรผู้หนึ่งทำการสุ่ม atenolol tablets ระหว่างการผลิตพบว่ายาเม็ดเกิดการแยกฝา เรียกปรากฏการณ์นี้ว่า</v>
      </c>
      <c r="C32" s="2"/>
      <c r="D32" s="2" t="str">
        <f ca="1">IFERROR(__xludf.DUMMYFUNCTION("""COMPUTED_VALUE"""),"Breaking")</f>
        <v>Breaking</v>
      </c>
      <c r="E32" s="2" t="str">
        <f ca="1">IFERROR(__xludf.DUMMYFUNCTION("""COMPUTED_VALUE"""),"Cracking")</f>
        <v>Cracking</v>
      </c>
      <c r="F32" s="2" t="str">
        <f ca="1">IFERROR(__xludf.DUMMYFUNCTION("""COMPUTED_VALUE"""),"Capping")</f>
        <v>Capping</v>
      </c>
      <c r="G32" s="2" t="str">
        <f ca="1">IFERROR(__xludf.DUMMYFUNCTION("""COMPUTED_VALUE"""),"Segregation")</f>
        <v>Segregation</v>
      </c>
      <c r="H32" s="2" t="str">
        <f ca="1">IFERROR(__xludf.DUMMYFUNCTION("""COMPUTED_VALUE"""),"Sticking")</f>
        <v>Sticking</v>
      </c>
      <c r="I32" s="2" t="str">
        <f ca="1">IFERROR(__xludf.DUMMYFUNCTION("""COMPUTED_VALUE"""),"3")</f>
        <v>3</v>
      </c>
      <c r="J32" s="2" t="str">
        <f ca="1">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2" s="2"/>
      <c r="L32" s="2" t="str">
        <f ca="1">IFERROR(__xludf.DUMMYFUNCTION("""COMPUTED_VALUE"""),"Tablet Defects")</f>
        <v>Tablet Defects</v>
      </c>
      <c r="M32" s="2" t="str">
        <f ca="1">IFERROR(__xludf.DUMMYFUNCTION("""COMPUTED_VALUE"""),"Product")</f>
        <v>Product</v>
      </c>
      <c r="N32" s="2" t="str">
        <f ca="1">IFERROR(__xludf.DUMMYFUNCTION("""COMPUTED_VALUE"""),"ข้อ 100 Pharma Plus เล่มม่วง (เฉลยข้อ ค)")</f>
        <v>ข้อ 100 Pharma Plus เล่มม่วง (เฉลยข้อ ค)</v>
      </c>
      <c r="O32" s="2" t="str">
        <f ca="1">IFERROR(__xludf.DUMMYFUNCTION("""COMPUTED_VALUE"""),"Mock")</f>
        <v>Mock</v>
      </c>
      <c r="P32" s="2" t="str">
        <f ca="1">IFERROR(__xludf.DUMMYFUNCTION("""COMPUTED_VALUE"""),"Pharma Plus เล่มม่วง")</f>
        <v>Pharma Plus เล่มม่วง</v>
      </c>
    </row>
    <row r="33" spans="1:16" ht="13.2" customHeight="1" x14ac:dyDescent="0.25">
      <c r="A33" s="2" t="str">
        <f ca="1">IFERROR(__xludf.DUMMYFUNCTION("""COMPUTED_VALUE"""),"101")</f>
        <v>101</v>
      </c>
      <c r="B33" s="2" t="str">
        <f ca="1">IFERROR(__xludf.DUMMYFUNCTION("""COMPUTED_VALUE"""),"จะแก้ไขปรากฏการณ์ข้อ 100 ได้อย่างไร")</f>
        <v>จะแก้ไขปรากฏการณ์ข้อ 100 ได้อย่างไร</v>
      </c>
      <c r="C33" s="2"/>
      <c r="D33" s="2" t="str">
        <f ca="1">IFERROR(__xludf.DUMMYFUNCTION("""COMPUTED_VALUE"""),"เติม anti-adherent")</f>
        <v>เติม anti-adherent</v>
      </c>
      <c r="E33" s="2" t="str">
        <f ca="1">IFERROR(__xludf.DUMMYFUNCTION("""COMPUTED_VALUE"""),"เติม binder")</f>
        <v>เติม binder</v>
      </c>
      <c r="F33" s="2" t="str">
        <f ca="1">IFERROR(__xludf.DUMMYFUNCTION("""COMPUTED_VALUE"""),"ลดขนาดอนุภาคให้ใกล้เคียงกัน")</f>
        <v>ลดขนาดอนุภาคให้ใกล้เคียงกัน</v>
      </c>
      <c r="G33" s="2" t="str">
        <f ca="1">IFERROR(__xludf.DUMMYFUNCTION("""COMPUTED_VALUE"""),"ปรับความเร็วในการตอกให้ลดลง")</f>
        <v>ปรับความเร็วในการตอกให้ลดลง</v>
      </c>
      <c r="H33" s="2" t="str">
        <f ca="1">IFERROR(__xludf.DUMMYFUNCTION("""COMPUTED_VALUE"""),"ข. และ ง. ถูก")</f>
        <v>ข. และ ง. ถูก</v>
      </c>
      <c r="I33" s="2" t="str">
        <f ca="1">IFERROR(__xludf.DUMMYFUNCTION("""COMPUTED_VALUE"""),"5")</f>
        <v>5</v>
      </c>
      <c r="J33" s="2" t="str">
        <f ca="1">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3" s="2"/>
      <c r="L33" s="2" t="str">
        <f ca="1">IFERROR(__xludf.DUMMYFUNCTION("""COMPUTED_VALUE"""),"Tablet Manufacturing")</f>
        <v>Tablet Manufacturing</v>
      </c>
      <c r="M33" s="2" t="str">
        <f ca="1">IFERROR(__xludf.DUMMYFUNCTION("""COMPUTED_VALUE"""),"Product")</f>
        <v>Product</v>
      </c>
      <c r="N33" s="2" t="str">
        <f ca="1">IFERROR(__xludf.DUMMYFUNCTION("""COMPUTED_VALUE"""),"ข้อ 101 Pharma Plus เล่มม่วง (เฉลยข้อ จ)")</f>
        <v>ข้อ 101 Pharma Plus เล่มม่วง (เฉลยข้อ จ)</v>
      </c>
      <c r="O33" s="2" t="str">
        <f ca="1">IFERROR(__xludf.DUMMYFUNCTION("""COMPUTED_VALUE"""),"Mock")</f>
        <v>Mock</v>
      </c>
      <c r="P33" s="2" t="str">
        <f ca="1">IFERROR(__xludf.DUMMYFUNCTION("""COMPUTED_VALUE"""),"Pharma Plus เล่มม่วง")</f>
        <v>Pharma Plus เล่มม่วง</v>
      </c>
    </row>
    <row r="34" spans="1:16" ht="13.2" customHeight="1" x14ac:dyDescent="0.25">
      <c r="A34" s="2" t="str">
        <f ca="1">IFERROR(__xludf.DUMMYFUNCTION("""COMPUTED_VALUE"""),"105")</f>
        <v>105</v>
      </c>
      <c r="B34" s="2" t="str">
        <f ca="1">IFERROR(__xludf.DUMMYFUNCTION("""COMPUTED_VALUE"""),"ORS Formulation
Sodium chloride: 2.6 g/L
Glucose anhydrous: 13.5 g/L
Potassium chloride: 1.5 g/L
Trisodium citrate dihydrate: 2.9 g/L
จากสูตร ORS ที่กำหนดให้ จงคำนวณหา mOsmol ของ NaCl (MW NaCl = 58.5)")</f>
        <v>ORS Formulation
Sodium chloride: 2.6 g/L
Glucose anhydrous: 13.5 g/L
Potassium chloride: 1.5 g/L
Trisodium citrate dihydrate: 2.9 g/L
จากสูตร ORS ที่กำหนดให้ จงคำนวณหา mOsmol ของ NaCl (MW NaCl = 58.5)</v>
      </c>
      <c r="C34" s="2"/>
      <c r="D34" s="2" t="str">
        <f ca="1">IFERROR(__xludf.DUMMYFUNCTION("""COMPUTED_VALUE"""),"44.44")</f>
        <v>44.44</v>
      </c>
      <c r="E34" s="2" t="str">
        <f ca="1">IFERROR(__xludf.DUMMYFUNCTION("""COMPUTED_VALUE"""),"75.88")</f>
        <v>75.88</v>
      </c>
      <c r="F34" s="2" t="str">
        <f ca="1">IFERROR(__xludf.DUMMYFUNCTION("""COMPUTED_VALUE"""),"80.58")</f>
        <v>80.58</v>
      </c>
      <c r="G34" s="2" t="str">
        <f ca="1">IFERROR(__xludf.DUMMYFUNCTION("""COMPUTED_VALUE"""),"85")</f>
        <v>85</v>
      </c>
      <c r="H34" s="2" t="str">
        <f ca="1">IFERROR(__xludf.DUMMYFUNCTION("""COMPUTED_VALUE"""),"88.89")</f>
        <v>88.89</v>
      </c>
      <c r="I34" s="2" t="str">
        <f ca="1">IFERROR(__xludf.DUMMYFUNCTION("""COMPUTED_VALUE"""),"5")</f>
        <v>5</v>
      </c>
      <c r="J34" s="2" t="str">
        <f ca="1">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4" s="2"/>
      <c r="L34" s="2" t="str">
        <f ca="1">IFERROR(__xludf.DUMMYFUNCTION("""COMPUTED_VALUE"""),"Tablet Manufacturing")</f>
        <v>Tablet Manufacturing</v>
      </c>
      <c r="M34" s="2" t="str">
        <f ca="1">IFERROR(__xludf.DUMMYFUNCTION("""COMPUTED_VALUE"""),"Product")</f>
        <v>Product</v>
      </c>
      <c r="N34" s="2" t="str">
        <f ca="1">IFERROR(__xludf.DUMMYFUNCTION("""COMPUTED_VALUE"""),"ข้อ 105 Pharma Plus เล่มม่วง (เฉลยข้อ จ)")</f>
        <v>ข้อ 105 Pharma Plus เล่มม่วง (เฉลยข้อ จ)</v>
      </c>
      <c r="O34" s="2" t="str">
        <f ca="1">IFERROR(__xludf.DUMMYFUNCTION("""COMPUTED_VALUE"""),"Mock")</f>
        <v>Mock</v>
      </c>
      <c r="P34" s="2" t="str">
        <f ca="1">IFERROR(__xludf.DUMMYFUNCTION("""COMPUTED_VALUE"""),"Pharma Plus เล่มม่วง")</f>
        <v>Pharma Plus เล่มม่วง</v>
      </c>
    </row>
    <row r="35" spans="1:16" ht="13.2" customHeight="1" x14ac:dyDescent="0.25">
      <c r="A35" s="2" t="str">
        <f ca="1">IFERROR(__xludf.DUMMYFUNCTION("""COMPUTED_VALUE"""),"106")</f>
        <v>106</v>
      </c>
      <c r="B35" s="2" t="str">
        <f ca="1">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v>
      </c>
      <c r="C35" s="2"/>
      <c r="D35" s="2" t="str">
        <f ca="1">IFERROR(__xludf.DUMMYFUNCTION("""COMPUTED_VALUE"""),"Preservatives")</f>
        <v>Preservatives</v>
      </c>
      <c r="E35" s="2" t="str">
        <f ca="1">IFERROR(__xludf.DUMMYFUNCTION("""COMPUTED_VALUE"""),"Suspending agent")</f>
        <v>Suspending agent</v>
      </c>
      <c r="F35" s="2" t="str">
        <f ca="1">IFERROR(__xludf.DUMMYFUNCTION("""COMPUTED_VALUE"""),"Sweetening agent")</f>
        <v>Sweetening agent</v>
      </c>
      <c r="G35" s="2" t="str">
        <f ca="1">IFERROR(__xludf.DUMMYFUNCTION("""COMPUTED_VALUE"""),"Coloring agent")</f>
        <v>Coloring agent</v>
      </c>
      <c r="H35" s="2" t="str">
        <f ca="1">IFERROR(__xludf.DUMMYFUNCTION("""COMPUTED_VALUE"""),"Active ingredient")</f>
        <v>Active ingredient</v>
      </c>
      <c r="I35" s="2" t="str">
        <f ca="1">IFERROR(__xludf.DUMMYFUNCTION("""COMPUTED_VALUE"""),"2")</f>
        <v>2</v>
      </c>
      <c r="J35" s="2" t="str">
        <f ca="1">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5" s="2"/>
      <c r="L35" s="2" t="str">
        <f ca="1">IFERROR(__xludf.DUMMYFUNCTION("""COMPUTED_VALUE"""),"Tablet Manufacturing")</f>
        <v>Tablet Manufacturing</v>
      </c>
      <c r="M35" s="2" t="str">
        <f ca="1">IFERROR(__xludf.DUMMYFUNCTION("""COMPUTED_VALUE"""),"Product")</f>
        <v>Product</v>
      </c>
      <c r="N35" s="2" t="str">
        <f ca="1">IFERROR(__xludf.DUMMYFUNCTION("""COMPUTED_VALUE"""),"ข้อ 106 Pharma Plus เล่มม่วง (เฉลยข้อ ข)")</f>
        <v>ข้อ 106 Pharma Plus เล่มม่วง (เฉลยข้อ ข)</v>
      </c>
      <c r="O35" s="2" t="str">
        <f ca="1">IFERROR(__xludf.DUMMYFUNCTION("""COMPUTED_VALUE"""),"Mock")</f>
        <v>Mock</v>
      </c>
      <c r="P35" s="2" t="str">
        <f ca="1">IFERROR(__xludf.DUMMYFUNCTION("""COMPUTED_VALUE"""),"Pharma Plus เล่มม่วง")</f>
        <v>Pharma Plus เล่มม่วง</v>
      </c>
    </row>
    <row r="36" spans="1:16" ht="13.2" customHeight="1" x14ac:dyDescent="0.25">
      <c r="A36" s="2" t="str">
        <f ca="1">IFERROR(__xludf.DUMMYFUNCTION("""COMPUTED_VALUE"""),"107")</f>
        <v>107</v>
      </c>
      <c r="B36" s="2" t="str">
        <f ca="1">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v>
      </c>
      <c r="C36" s="2"/>
      <c r="D36" s="2" t="str">
        <f ca="1">IFERROR(__xludf.DUMMYFUNCTION("""COMPUTED_VALUE"""),"155 g")</f>
        <v>155 g</v>
      </c>
      <c r="E36" s="2" t="str">
        <f ca="1">IFERROR(__xludf.DUMMYFUNCTION("""COMPUTED_VALUE"""),"175 g")</f>
        <v>175 g</v>
      </c>
      <c r="F36" s="2" t="str">
        <f ca="1">IFERROR(__xludf.DUMMYFUNCTION("""COMPUTED_VALUE"""),"180 g")</f>
        <v>180 g</v>
      </c>
      <c r="G36" s="2" t="str">
        <f ca="1">IFERROR(__xludf.DUMMYFUNCTION("""COMPUTED_VALUE"""),"197 g")</f>
        <v>197 g</v>
      </c>
      <c r="H36" s="2" t="str">
        <f ca="1">IFERROR(__xludf.DUMMYFUNCTION("""COMPUTED_VALUE"""),"200 g")</f>
        <v>200 g</v>
      </c>
      <c r="I36" s="2" t="str">
        <f ca="1">IFERROR(__xludf.DUMMYFUNCTION("""COMPUTED_VALUE"""),"3")</f>
        <v>3</v>
      </c>
      <c r="J36" s="2" t="str">
        <f ca="1">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6" s="2"/>
      <c r="L36" s="2" t="str">
        <f ca="1">IFERROR(__xludf.DUMMYFUNCTION("""COMPUTED_VALUE"""),"Tablet Manufacturing")</f>
        <v>Tablet Manufacturing</v>
      </c>
      <c r="M36" s="2" t="str">
        <f ca="1">IFERROR(__xludf.DUMMYFUNCTION("""COMPUTED_VALUE"""),"Product")</f>
        <v>Product</v>
      </c>
      <c r="N36" s="2" t="str">
        <f ca="1">IFERROR(__xludf.DUMMYFUNCTION("""COMPUTED_VALUE"""),"ข้อ 107 Pharma Plus เล่มม่วง (เฉลยข้อ ค)")</f>
        <v>ข้อ 107 Pharma Plus เล่มม่วง (เฉลยข้อ ค)</v>
      </c>
      <c r="O36" s="2" t="str">
        <f ca="1">IFERROR(__xludf.DUMMYFUNCTION("""COMPUTED_VALUE"""),"Mock")</f>
        <v>Mock</v>
      </c>
      <c r="P36" s="2" t="str">
        <f ca="1">IFERROR(__xludf.DUMMYFUNCTION("""COMPUTED_VALUE"""),"Pharma Plus เล่มม่วง")</f>
        <v>Pharma Plus เล่มม่วง</v>
      </c>
    </row>
    <row r="37" spans="1:16" ht="13.2" customHeight="1" x14ac:dyDescent="0.25">
      <c r="A37" s="2" t="str">
        <f ca="1">IFERROR(__xludf.DUMMYFUNCTION("""COMPUTED_VALUE"""),"108")</f>
        <v>108</v>
      </c>
      <c r="B37" s="2" t="str">
        <f ca="1">IFERROR(__xludf.DUMMYFUNCTION("""COMPUTED_VALUE"""),"ในการเตรียม D-5-S จำนวน 100 ขวด (ขวดละ 1000 mL) จะต้องใช้ NaCl หนักเท่าใด")</f>
        <v>ในการเตรียม D-5-S จำนวน 100 ขวด (ขวดละ 1000 mL) จะต้องใช้ NaCl หนักเท่าใด</v>
      </c>
      <c r="C37" s="2"/>
      <c r="D37" s="2" t="str">
        <f ca="1">IFERROR(__xludf.DUMMYFUNCTION("""COMPUTED_VALUE"""),"45 กรัม")</f>
        <v>45 กรัม</v>
      </c>
      <c r="E37" s="2" t="str">
        <f ca="1">IFERROR(__xludf.DUMMYFUNCTION("""COMPUTED_VALUE"""),"450 กรัม")</f>
        <v>450 กรัม</v>
      </c>
      <c r="F37" s="2" t="str">
        <f ca="1">IFERROR(__xludf.DUMMYFUNCTION("""COMPUTED_VALUE"""),"90 กรัม")</f>
        <v>90 กรัม</v>
      </c>
      <c r="G37" s="2" t="str">
        <f ca="1">IFERROR(__xludf.DUMMYFUNCTION("""COMPUTED_VALUE"""),"900 กรัม")</f>
        <v>900 กรัม</v>
      </c>
      <c r="H37" s="2" t="str">
        <f ca="1">IFERROR(__xludf.DUMMYFUNCTION("""COMPUTED_VALUE"""),"ไม่มีคำตอบใดถูก")</f>
        <v>ไม่มีคำตอบใดถูก</v>
      </c>
      <c r="I37" s="2" t="str">
        <f ca="1">IFERROR(__xludf.DUMMYFUNCTION("""COMPUTED_VALUE"""),"4")</f>
        <v>4</v>
      </c>
      <c r="J37" s="2" t="str">
        <f ca="1">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7" s="2"/>
      <c r="L37" s="2" t="str">
        <f ca="1">IFERROR(__xludf.DUMMYFUNCTION("""COMPUTED_VALUE"""),"Tablet Manufacturing")</f>
        <v>Tablet Manufacturing</v>
      </c>
      <c r="M37" s="2" t="str">
        <f ca="1">IFERROR(__xludf.DUMMYFUNCTION("""COMPUTED_VALUE"""),"Product")</f>
        <v>Product</v>
      </c>
      <c r="N37" s="2" t="str">
        <f ca="1">IFERROR(__xludf.DUMMYFUNCTION("""COMPUTED_VALUE"""),"ข้อ 108 Pharma Plus เล่มม่วง (เฉลยข้อ ง)")</f>
        <v>ข้อ 108 Pharma Plus เล่มม่วง (เฉลยข้อ ง)</v>
      </c>
      <c r="O37" s="2" t="str">
        <f ca="1">IFERROR(__xludf.DUMMYFUNCTION("""COMPUTED_VALUE"""),"Mock")</f>
        <v>Mock</v>
      </c>
      <c r="P37" s="2" t="str">
        <f ca="1">IFERROR(__xludf.DUMMYFUNCTION("""COMPUTED_VALUE"""),"Pharma Plus เล่มม่วง")</f>
        <v>Pharma Plus เล่มม่วง</v>
      </c>
    </row>
    <row r="38" spans="1:16" ht="13.2" customHeight="1" x14ac:dyDescent="0.25">
      <c r="A38" s="2" t="str">
        <f ca="1">IFERROR(__xludf.DUMMYFUNCTION("""COMPUTED_VALUE"""),"109")</f>
        <v>109</v>
      </c>
      <c r="B38" s="2" t="str">
        <f ca="1">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หลังจากบรรจุเสร็จ จะนำขวดน้ำเกลือดังกล่าวไปฆ่าเชื้อโดยผ่านเครื่องมือใด ที่อุณหภูมิในข้อใด จึงจะเหมาะสม</v>
      </c>
      <c r="C38" s="2"/>
      <c r="D38" s="2" t="str">
        <f ca="1">IFERROR(__xludf.DUMMYFUNCTION("""COMPUTED_VALUE"""),"Hot air oven 160 องศาเซลเซียส นาน 3 ชั่วโมง")</f>
        <v>Hot air oven 160 องศาเซลเซียส นาน 3 ชั่วโมง</v>
      </c>
      <c r="E38" s="2" t="str">
        <f ca="1">IFERROR(__xludf.DUMMYFUNCTION("""COMPUTED_VALUE"""),"Hot air oven 121 องศาเซลเซียส นาน 20-30 นาที")</f>
        <v>Hot air oven 121 องศาเซลเซียส นาน 20-30 นาที</v>
      </c>
      <c r="F38" s="2" t="str">
        <f ca="1">IFERROR(__xludf.DUMMYFUNCTION("""COMPUTED_VALUE"""),"Autoclave 121 องศาเซลเซียส นาน 20-30 นาที")</f>
        <v>Autoclave 121 องศาเซลเซียส นาน 20-30 นาที</v>
      </c>
      <c r="G38" s="2" t="str">
        <f ca="1">IFERROR(__xludf.DUMMYFUNCTION("""COMPUTED_VALUE"""),"Autoclave 160 องศาเซลเซียส นาน 3 ชั่วโมง")</f>
        <v>Autoclave 160 องศาเซลเซียส นาน 3 ชั่วโมง</v>
      </c>
      <c r="H38" s="2" t="str">
        <f ca="1">IFERROR(__xludf.DUMMYFUNCTION("""COMPUTED_VALUE"""),"Autoclave 100 องศาเซลเซียส นาน 30 นาที")</f>
        <v>Autoclave 100 องศาเซลเซียส นาน 30 นาที</v>
      </c>
      <c r="I38" s="2" t="str">
        <f ca="1">IFERROR(__xludf.DUMMYFUNCTION("""COMPUTED_VALUE"""),"3")</f>
        <v>3</v>
      </c>
      <c r="J38" s="2" t="str">
        <f ca="1">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8" s="2"/>
      <c r="L38" s="2" t="str">
        <f ca="1">IFERROR(__xludf.DUMMYFUNCTION("""COMPUTED_VALUE"""),"Tablet Manufacturing")</f>
        <v>Tablet Manufacturing</v>
      </c>
      <c r="M38" s="2" t="str">
        <f ca="1">IFERROR(__xludf.DUMMYFUNCTION("""COMPUTED_VALUE"""),"Product")</f>
        <v>Product</v>
      </c>
      <c r="N38" s="2" t="str">
        <f ca="1">IFERROR(__xludf.DUMMYFUNCTION("""COMPUTED_VALUE"""),"ข้อ 109 Pharma Plus เล่มม่วง (เฉลยข้อ ค)")</f>
        <v>ข้อ 109 Pharma Plus เล่มม่วง (เฉลยข้อ ค)</v>
      </c>
      <c r="O38" s="2" t="str">
        <f ca="1">IFERROR(__xludf.DUMMYFUNCTION("""COMPUTED_VALUE"""),"Mock")</f>
        <v>Mock</v>
      </c>
      <c r="P38" s="2" t="str">
        <f ca="1">IFERROR(__xludf.DUMMYFUNCTION("""COMPUTED_VALUE"""),"Pharma Plus เล่มม่วง")</f>
        <v>Pharma Plus เล่มม่วง</v>
      </c>
    </row>
    <row r="39" spans="1:16" ht="13.2" customHeight="1" x14ac:dyDescent="0.25">
      <c r="A39" s="2" t="str">
        <f ca="1">IFERROR(__xludf.DUMMYFUNCTION("""COMPUTED_VALUE"""),"122")</f>
        <v>122</v>
      </c>
      <c r="B39" s="2" t="str">
        <f ca="1">IFERROR(__xludf.DUMMYFUNCTION("""COMPUTED_VALUE"""),"ยา ISDN เหมาะกับอาการขณะกำเริบ คือ dosage form ใด")</f>
        <v>ยา ISDN เหมาะกับอาการขณะกำเริบ คือ dosage form ใด</v>
      </c>
      <c r="C39" s="2"/>
      <c r="D39" s="2" t="str">
        <f ca="1">IFERROR(__xludf.DUMMYFUNCTION("""COMPUTED_VALUE"""),"Extent release")</f>
        <v>Extent release</v>
      </c>
      <c r="E39" s="2" t="str">
        <f ca="1">IFERROR(__xludf.DUMMYFUNCTION("""COMPUTED_VALUE"""),"Ointment")</f>
        <v>Ointment</v>
      </c>
      <c r="F39" s="2" t="str">
        <f ca="1">IFERROR(__xludf.DUMMYFUNCTION("""COMPUTED_VALUE"""),"Solution")</f>
        <v>Solution</v>
      </c>
      <c r="G39" s="2" t="str">
        <f ca="1">IFERROR(__xludf.DUMMYFUNCTION("""COMPUTED_VALUE"""),"Sublingual tablet")</f>
        <v>Sublingual tablet</v>
      </c>
      <c r="H39" s="2" t="str">
        <f ca="1">IFERROR(__xludf.DUMMYFUNCTION("""COMPUTED_VALUE"""),"Transdermal")</f>
        <v>Transdermal</v>
      </c>
      <c r="I39" s="2" t="str">
        <f ca="1">IFERROR(__xludf.DUMMYFUNCTION("""COMPUTED_VALUE"""),"4")</f>
        <v>4</v>
      </c>
      <c r="J39" s="2" t="str">
        <f ca="1">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39" s="2"/>
      <c r="L39" s="2" t="str">
        <f ca="1">IFERROR(__xludf.DUMMYFUNCTION("""COMPUTED_VALUE"""),"Tablet Manufacturing")</f>
        <v>Tablet Manufacturing</v>
      </c>
      <c r="M39" s="2" t="str">
        <f ca="1">IFERROR(__xludf.DUMMYFUNCTION("""COMPUTED_VALUE"""),"Product")</f>
        <v>Product</v>
      </c>
      <c r="N39" s="2" t="str">
        <f ca="1">IFERROR(__xludf.DUMMYFUNCTION("""COMPUTED_VALUE"""),"ข้อ 122 Pharma Plus เล่มม่วง (เฉลยข้อ ง)")</f>
        <v>ข้อ 122 Pharma Plus เล่มม่วง (เฉลยข้อ ง)</v>
      </c>
      <c r="O39" s="2" t="str">
        <f ca="1">IFERROR(__xludf.DUMMYFUNCTION("""COMPUTED_VALUE"""),"Mock")</f>
        <v>Mock</v>
      </c>
      <c r="P39" s="2" t="str">
        <f ca="1">IFERROR(__xludf.DUMMYFUNCTION("""COMPUTED_VALUE"""),"Pharma Plus เล่มม่วง")</f>
        <v>Pharma Plus เล่มม่วง</v>
      </c>
    </row>
    <row r="40" spans="1:16" ht="13.2" customHeight="1" x14ac:dyDescent="0.25">
      <c r="A40" s="2" t="str">
        <f ca="1">IFERROR(__xludf.DUMMYFUNCTION("""COMPUTED_VALUE"""),"123")</f>
        <v>123</v>
      </c>
      <c r="B40" s="2" t="str">
        <f ca="1">IFERROR(__xludf.DUMMYFUNCTION("""COMPUTED_VALUE"""),"ยาที่ผู้ป่วยได้รับก่อนมารพ. คือ nifedipine SR เป็นการปลดยารูปแบบใด")</f>
        <v>ยาที่ผู้ป่วยได้รับก่อนมารพ. คือ nifedipine SR เป็นการปลดยารูปแบบใด</v>
      </c>
      <c r="C40" s="2"/>
      <c r="D40" s="2" t="str">
        <f ca="1">IFERROR(__xludf.DUMMYFUNCTION("""COMPUTED_VALUE"""),"ปลดปล่อยยาทันทีหลังรับประทานอาหาร")</f>
        <v>ปลดปล่อยยาทันทีหลังรับประทานอาหาร</v>
      </c>
      <c r="E40" s="2" t="str">
        <f ca="1">IFERROR(__xludf.DUMMYFUNCTION("""COMPUTED_VALUE"""),"ปลดปล่อยยาอย่างเร็ว")</f>
        <v>ปลดปล่อยยาอย่างเร็ว</v>
      </c>
      <c r="F40" s="2" t="str">
        <f ca="1">IFERROR(__xludf.DUMMYFUNCTION("""COMPUTED_VALUE"""),"ปลดปล่อยยาในปริมาณที่แน่นอน")</f>
        <v>ปลดปล่อยยาในปริมาณที่แน่นอน</v>
      </c>
      <c r="G40" s="2" t="str">
        <f ca="1">IFERROR(__xludf.DUMMYFUNCTION("""COMPUTED_VALUE"""),"ค่อย ๆ ปล่อยยาออกมาอย่าง ช้า ๆ")</f>
        <v>ค่อย ๆ ปล่อยยาออกมาอย่าง ช้า ๆ</v>
      </c>
      <c r="H40" s="2" t="str">
        <f ca="1">IFERROR(__xludf.DUMMYFUNCTION("""COMPUTED_VALUE"""),"ค่อย ๆปลดปล่อยยาออกมาในปริมาณน้อย")</f>
        <v>ค่อย ๆปลดปล่อยยาออกมาในปริมาณน้อย</v>
      </c>
      <c r="I40" s="2" t="str">
        <f ca="1">IFERROR(__xludf.DUMMYFUNCTION("""COMPUTED_VALUE"""),"4")</f>
        <v>4</v>
      </c>
      <c r="J40" s="2" t="str">
        <f ca="1">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0" s="2"/>
      <c r="L40" s="2" t="str">
        <f ca="1">IFERROR(__xludf.DUMMYFUNCTION("""COMPUTED_VALUE"""),"Tablet Manufacturing")</f>
        <v>Tablet Manufacturing</v>
      </c>
      <c r="M40" s="2" t="str">
        <f ca="1">IFERROR(__xludf.DUMMYFUNCTION("""COMPUTED_VALUE"""),"Product")</f>
        <v>Product</v>
      </c>
      <c r="N40" s="2" t="str">
        <f ca="1">IFERROR(__xludf.DUMMYFUNCTION("""COMPUTED_VALUE"""),"ข้อ 123 Pharma Plus เล่มม่วง (เฉลยข้อ ง)")</f>
        <v>ข้อ 123 Pharma Plus เล่มม่วง (เฉลยข้อ ง)</v>
      </c>
      <c r="O40" s="2" t="str">
        <f ca="1">IFERROR(__xludf.DUMMYFUNCTION("""COMPUTED_VALUE"""),"Mock")</f>
        <v>Mock</v>
      </c>
      <c r="P40" s="2" t="str">
        <f ca="1">IFERROR(__xludf.DUMMYFUNCTION("""COMPUTED_VALUE"""),"Pharma Plus เล่มม่วง")</f>
        <v>Pharma Plus เล่มม่วง</v>
      </c>
    </row>
    <row r="41" spans="1:16" ht="13.2" customHeight="1" x14ac:dyDescent="0.25">
      <c r="A41" s="2" t="str">
        <f ca="1">IFERROR(__xludf.DUMMYFUNCTION("""COMPUTED_VALUE"""),"124")</f>
        <v>124</v>
      </c>
      <c r="B41" s="2" t="str">
        <f ca="1">IFERROR(__xludf.DUMMYFUNCTION("""COMPUTED_VALUE"""),"เมื่อนำครีมมาเตรียมในรูปแบบครีมทาผิวลดไขมันและประเมินความคงตัว ข้อใดเป็นวิธีที่ไม่เหมาะสมมากที่สุด")</f>
        <v>เมื่อนำครีมมาเตรียมในรูปแบบครีมทาผิวลดไขมันและประเมินความคงตัว ข้อใดเป็นวิธีที่ไม่เหมาะสมมากที่สุด</v>
      </c>
      <c r="C41" s="2"/>
      <c r="D41" s="2" t="str">
        <f ca="1">IFERROR(__xludf.DUMMYFUNCTION("""COMPUTED_VALUE"""),"นำไปปั่นเหวี่ยงที่ความเร็วรอบ 3,750 รอบ/นาที เป็นเวลา 5 ชั่วโมง")</f>
        <v>นำไปปั่นเหวี่ยงที่ความเร็วรอบ 3,750 รอบ/นาที เป็นเวลา 5 ชั่วโมง</v>
      </c>
      <c r="E41" s="2" t="str">
        <f ca="1">IFERROR(__xludf.DUMMYFUNCTION("""COMPUTED_VALUE"""),"นำไปเก็บไว้ที่อุณหภูมิ 180 C เป็นเวลา 12 ชั่วโมง")</f>
        <v>นำไปเก็บไว้ที่อุณหภูมิ 180 C เป็นเวลา 12 ชั่วโมง</v>
      </c>
      <c r="F41" s="2" t="str">
        <f ca="1">IFERROR(__xludf.DUMMYFUNCTION("""COMPUTED_VALUE"""),"นำไปเก็บไว้ที่อุณหภูมิ -5 C สลับกับ 40 C ทุก ๆ 24 ชั่วโมง เป็นจำนวน 24 รอบ")</f>
        <v>นำไปเก็บไว้ที่อุณหภูมิ -5 C สลับกับ 40 C ทุก ๆ 24 ชั่วโมง เป็นจำนวน 24 รอบ</v>
      </c>
      <c r="G41" s="2" t="str">
        <f ca="1">IFERROR(__xludf.DUMMYFUNCTION("""COMPUTED_VALUE"""),"นำไปเก็บไว้ที่อุณหภูมิ 4 C, 25 C และ 45 Cเป็นเวลา 6 เดือน")</f>
        <v>นำไปเก็บไว้ที่อุณหภูมิ 4 C, 25 C และ 45 Cเป็นเวลา 6 เดือน</v>
      </c>
      <c r="H41" s="2" t="str">
        <f ca="1">IFERROR(__xludf.DUMMYFUNCTION("""COMPUTED_VALUE"""),"นำไปเก็บไว้ที่อุณหภูมิ 25 C เป็นเวลา 2 ปี")</f>
        <v>นำไปเก็บไว้ที่อุณหภูมิ 25 C เป็นเวลา 2 ปี</v>
      </c>
      <c r="I41" s="2" t="str">
        <f ca="1">IFERROR(__xludf.DUMMYFUNCTION("""COMPUTED_VALUE"""),"2")</f>
        <v>2</v>
      </c>
      <c r="J41" s="2" t="str">
        <f ca="1">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1" s="2"/>
      <c r="L41" s="2" t="str">
        <f ca="1">IFERROR(__xludf.DUMMYFUNCTION("""COMPUTED_VALUE"""),"Tablet Manufacturing")</f>
        <v>Tablet Manufacturing</v>
      </c>
      <c r="M41" s="2" t="str">
        <f ca="1">IFERROR(__xludf.DUMMYFUNCTION("""COMPUTED_VALUE"""),"Product")</f>
        <v>Product</v>
      </c>
      <c r="N41" s="2" t="str">
        <f ca="1">IFERROR(__xludf.DUMMYFUNCTION("""COMPUTED_VALUE"""),"ข้อ 124 Pharma Plus เล่มม่วง (เฉลยข้อ ข)")</f>
        <v>ข้อ 124 Pharma Plus เล่มม่วง (เฉลยข้อ ข)</v>
      </c>
      <c r="O41" s="2" t="str">
        <f ca="1">IFERROR(__xludf.DUMMYFUNCTION("""COMPUTED_VALUE"""),"Mock")</f>
        <v>Mock</v>
      </c>
      <c r="P41" s="2" t="str">
        <f ca="1">IFERROR(__xludf.DUMMYFUNCTION("""COMPUTED_VALUE"""),"Pharma Plus เล่มม่วง")</f>
        <v>Pharma Plus เล่มม่วง</v>
      </c>
    </row>
    <row r="42" spans="1:16" ht="13.2" customHeight="1" x14ac:dyDescent="0.25">
      <c r="A42" s="2" t="str">
        <f ca="1">IFERROR(__xludf.DUMMYFUNCTION("""COMPUTED_VALUE"""),"125")</f>
        <v>125</v>
      </c>
      <c r="B42" s="2" t="str">
        <f ca="1">IFERROR(__xludf.DUMMYFUNCTION("""COMPUTED_VALUE"""),"ข้อมูลข้อมีความจำเป็นน้อยที่สุดในการนำพริกมาบรรจุในแคปซูลเพื่อรับประทาน")</f>
        <v>ข้อมูลข้อมีความจำเป็นน้อยที่สุดในการนำพริกมาบรรจุในแคปซูลเพื่อรับประทาน</v>
      </c>
      <c r="C42" s="2"/>
      <c r="D42" s="2" t="str">
        <f ca="1">IFERROR(__xludf.DUMMYFUNCTION("""COMPUTED_VALUE"""),"Solubility")</f>
        <v>Solubility</v>
      </c>
      <c r="E42" s="2" t="str">
        <f ca="1">IFERROR(__xludf.DUMMYFUNCTION("""COMPUTED_VALUE"""),"Angle of repose")</f>
        <v>Angle of repose</v>
      </c>
      <c r="F42" s="2" t="str">
        <f ca="1">IFERROR(__xludf.DUMMYFUNCTION("""COMPUTED_VALUE"""),"Capsule's size and volume")</f>
        <v>Capsule's size and volume</v>
      </c>
      <c r="G42" s="2" t="str">
        <f ca="1">IFERROR(__xludf.DUMMYFUNCTION("""COMPUTED_VALUE"""),"Tap density")</f>
        <v>Tap density</v>
      </c>
      <c r="H42" s="2" t="str">
        <f ca="1">IFERROR(__xludf.DUMMYFUNCTION("""COMPUTED_VALUE"""),"Therapeutic dose")</f>
        <v>Therapeutic dose</v>
      </c>
      <c r="I42" s="2" t="str">
        <f ca="1">IFERROR(__xludf.DUMMYFUNCTION("""COMPUTED_VALUE"""),"1")</f>
        <v>1</v>
      </c>
      <c r="J42" s="2" t="str">
        <f ca="1">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2" s="2"/>
      <c r="L42" s="2" t="str">
        <f ca="1">IFERROR(__xludf.DUMMYFUNCTION("""COMPUTED_VALUE"""),"Hard &amp; Soft Gelatin Capsules")</f>
        <v>Hard &amp; Soft Gelatin Capsules</v>
      </c>
      <c r="M42" s="2" t="str">
        <f ca="1">IFERROR(__xludf.DUMMYFUNCTION("""COMPUTED_VALUE"""),"Product")</f>
        <v>Product</v>
      </c>
      <c r="N42" s="2" t="str">
        <f ca="1">IFERROR(__xludf.DUMMYFUNCTION("""COMPUTED_VALUE"""),"ข้อ 125 Pharma Plus เล่มม่วง (เฉลยข้อ ก)")</f>
        <v>ข้อ 125 Pharma Plus เล่มม่วง (เฉลยข้อ ก)</v>
      </c>
      <c r="O42" s="2" t="str">
        <f ca="1">IFERROR(__xludf.DUMMYFUNCTION("""COMPUTED_VALUE"""),"Mock")</f>
        <v>Mock</v>
      </c>
      <c r="P42" s="2" t="str">
        <f ca="1">IFERROR(__xludf.DUMMYFUNCTION("""COMPUTED_VALUE"""),"Pharma Plus เล่มม่วง")</f>
        <v>Pharma Plus เล่มม่วง</v>
      </c>
    </row>
    <row r="43" spans="1:16" ht="13.2" customHeight="1" x14ac:dyDescent="0.25">
      <c r="A43" s="2" t="str">
        <f ca="1">IFERROR(__xludf.DUMMYFUNCTION("""COMPUTED_VALUE"""),"126")</f>
        <v>126</v>
      </c>
      <c r="B43" s="2" t="str">
        <f ca="1">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v>
      </c>
      <c r="C43" s="2"/>
      <c r="D43" s="2" t="str">
        <f ca="1">IFERROR(__xludf.DUMMYFUNCTION("""COMPUTED_VALUE"""),"ใช้ 25% NaHCO3 6 mL และปรับปริมาตรให้ได้ 100 mL")</f>
        <v>ใช้ 25% NaHCO3 6 mL และปรับปริมาตรให้ได้ 100 mL</v>
      </c>
      <c r="E43" s="2" t="str">
        <f ca="1">IFERROR(__xludf.DUMMYFUNCTION("""COMPUTED_VALUE"""),"ใช้ 25% NaHCO3 6 mL และปรับปริมาตรให้ได้ 30 mL")</f>
        <v>ใช้ 25% NaHCO3 6 mL และปรับปริมาตรให้ได้ 30 mL</v>
      </c>
      <c r="F43" s="2" t="str">
        <f ca="1">IFERROR(__xludf.DUMMYFUNCTION("""COMPUTED_VALUE"""),"ใช้ 25% NaHCO3 20 mL และปรับปริมาตรให้ได้ 100 mL")</f>
        <v>ใช้ 25% NaHCO3 20 mL และปรับปริมาตรให้ได้ 100 mL</v>
      </c>
      <c r="G43" s="2" t="str">
        <f ca="1">IFERROR(__xludf.DUMMYFUNCTION("""COMPUTED_VALUE"""),"ใช้ 25% NaHCO3 20 mL และปรับปริมาตรให้ได้ 30 mL")</f>
        <v>ใช้ 25% NaHCO3 20 mL และปรับปริมาตรให้ได้ 30 mL</v>
      </c>
      <c r="H43" s="2" t="str">
        <f ca="1">IFERROR(__xludf.DUMMYFUNCTION("""COMPUTED_VALUE"""),"ใช้ 25% NaHCO3 10 mL และปรับปริมาตรให้ได้ 100 mL")</f>
        <v>ใช้ 25% NaHCO3 10 mL และปรับปริมาตรให้ได้ 100 mL</v>
      </c>
      <c r="I43" s="2" t="str">
        <f ca="1">IFERROR(__xludf.DUMMYFUNCTION("""COMPUTED_VALUE"""),"2")</f>
        <v>2</v>
      </c>
      <c r="J43" s="2" t="str">
        <f ca="1">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3" s="2"/>
      <c r="L43" s="2" t="str">
        <f ca="1">IFERROR(__xludf.DUMMYFUNCTION("""COMPUTED_VALUE"""),"Tablet Manufacturing")</f>
        <v>Tablet Manufacturing</v>
      </c>
      <c r="M43" s="2" t="str">
        <f ca="1">IFERROR(__xludf.DUMMYFUNCTION("""COMPUTED_VALUE"""),"Product")</f>
        <v>Product</v>
      </c>
      <c r="N43" s="2" t="str">
        <f ca="1">IFERROR(__xludf.DUMMYFUNCTION("""COMPUTED_VALUE"""),"ข้อ 126 Pharma Plus เล่มม่วง (เฉลยข้อ ข)")</f>
        <v>ข้อ 126 Pharma Plus เล่มม่วง (เฉลยข้อ ข)</v>
      </c>
      <c r="O43" s="2" t="str">
        <f ca="1">IFERROR(__xludf.DUMMYFUNCTION("""COMPUTED_VALUE"""),"Mock")</f>
        <v>Mock</v>
      </c>
      <c r="P43" s="2" t="str">
        <f ca="1">IFERROR(__xludf.DUMMYFUNCTION("""COMPUTED_VALUE"""),"Pharma Plus เล่มม่วง")</f>
        <v>Pharma Plus เล่มม่วง</v>
      </c>
    </row>
    <row r="44" spans="1:16" ht="13.2" customHeight="1" x14ac:dyDescent="0.25">
      <c r="A44" s="2" t="str">
        <f ca="1">IFERROR(__xludf.DUMMYFUNCTION("""COMPUTED_VALUE"""),"127")</f>
        <v>127</v>
      </c>
      <c r="B44" s="2" t="str">
        <f ca="1">IFERROR(__xludf.DUMMYFUNCTION("""COMPUTED_VALUE"""),"เมื่อเตรียมตำรับยาข้างต้นในข้อ 126 ส่วนประกอบใดไม่จำเป็นในการเตรียมยาใช้ในช่องหู")</f>
        <v>เมื่อเตรียมตำรับยาข้างต้นในข้อ 126 ส่วนประกอบใดไม่จำเป็นในการเตรียมยาใช้ในช่องหู</v>
      </c>
      <c r="C44" s="2"/>
      <c r="D44" s="2" t="str">
        <f ca="1">IFERROR(__xludf.DUMMYFUNCTION("""COMPUTED_VALUE"""),"Antioxidant")</f>
        <v>Antioxidant</v>
      </c>
      <c r="E44" s="2" t="str">
        <f ca="1">IFERROR(__xludf.DUMMYFUNCTION("""COMPUTED_VALUE"""),"Buffering agent")</f>
        <v>Buffering agent</v>
      </c>
      <c r="F44" s="2" t="str">
        <f ca="1">IFERROR(__xludf.DUMMYFUNCTION("""COMPUTED_VALUE"""),"Structure vehicle")</f>
        <v>Structure vehicle</v>
      </c>
      <c r="G44" s="2" t="str">
        <f ca="1">IFERROR(__xludf.DUMMYFUNCTION("""COMPUTED_VALUE"""),"Preservative")</f>
        <v>Preservative</v>
      </c>
      <c r="H44" s="2" t="str">
        <f ca="1">IFERROR(__xludf.DUMMYFUNCTION("""COMPUTED_VALUE"""),"Viscosity agent")</f>
        <v>Viscosity agent</v>
      </c>
      <c r="I44" s="2" t="str">
        <f ca="1">IFERROR(__xludf.DUMMYFUNCTION("""COMPUTED_VALUE"""),"2")</f>
        <v>2</v>
      </c>
      <c r="J44" s="2" t="str">
        <f ca="1">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4" s="2"/>
      <c r="L44" s="2" t="str">
        <f ca="1">IFERROR(__xludf.DUMMYFUNCTION("""COMPUTED_VALUE"""),"Tablet Manufacturing")</f>
        <v>Tablet Manufacturing</v>
      </c>
      <c r="M44" s="2" t="str">
        <f ca="1">IFERROR(__xludf.DUMMYFUNCTION("""COMPUTED_VALUE"""),"Product")</f>
        <v>Product</v>
      </c>
      <c r="N44" s="2" t="str">
        <f ca="1">IFERROR(__xludf.DUMMYFUNCTION("""COMPUTED_VALUE"""),"ข้อ 127 Pharma Plus เล่มม่วง (เฉลยข้อ ข)")</f>
        <v>ข้อ 127 Pharma Plus เล่มม่วง (เฉลยข้อ ข)</v>
      </c>
      <c r="O44" s="2" t="str">
        <f ca="1">IFERROR(__xludf.DUMMYFUNCTION("""COMPUTED_VALUE"""),"Mock")</f>
        <v>Mock</v>
      </c>
      <c r="P44" s="2" t="str">
        <f ca="1">IFERROR(__xludf.DUMMYFUNCTION("""COMPUTED_VALUE"""),"Pharma Plus เล่มม่วง")</f>
        <v>Pharma Plus เล่มม่วง</v>
      </c>
    </row>
    <row r="45" spans="1:16" ht="13.2" customHeight="1" x14ac:dyDescent="0.25">
      <c r="A45" s="2" t="str">
        <f ca="1">IFERROR(__xludf.DUMMYFUNCTION("""COMPUTED_VALUE"""),"152")</f>
        <v>152</v>
      </c>
      <c r="B45" s="2" t="str">
        <f ca="1">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v>
      </c>
      <c r="C45" s="2"/>
      <c r="D45" s="2" t="str">
        <f ca="1">IFERROR(__xludf.DUMMYFUNCTION("""COMPUTED_VALUE"""),"0.27 g")</f>
        <v>0.27 g</v>
      </c>
      <c r="E45" s="2" t="str">
        <f ca="1">IFERROR(__xludf.DUMMYFUNCTION("""COMPUTED_VALUE"""),"0.18 g")</f>
        <v>0.18 g</v>
      </c>
      <c r="F45" s="2" t="str">
        <f ca="1">IFERROR(__xludf.DUMMYFUNCTION("""COMPUTED_VALUE"""),"0.09 g")</f>
        <v>0.09 g</v>
      </c>
      <c r="G45" s="2" t="str">
        <f ca="1">IFERROR(__xludf.DUMMYFUNCTION("""COMPUTED_VALUE"""),"0.04 g")</f>
        <v>0.04 g</v>
      </c>
      <c r="H45" s="2" t="str">
        <f ca="1">IFERROR(__xludf.DUMMYFUNCTION("""COMPUTED_VALUE"""),"0.12 g")</f>
        <v>0.12 g</v>
      </c>
      <c r="I45" s="2" t="str">
        <f ca="1">IFERROR(__xludf.DUMMYFUNCTION("""COMPUTED_VALUE"""),"3")</f>
        <v>3</v>
      </c>
      <c r="J45" s="2" t="str">
        <f ca="1">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5" s="2"/>
      <c r="L45" s="2" t="str">
        <f ca="1">IFERROR(__xludf.DUMMYFUNCTION("""COMPUTED_VALUE"""),"Tablet Manufacturing")</f>
        <v>Tablet Manufacturing</v>
      </c>
      <c r="M45" s="2" t="str">
        <f ca="1">IFERROR(__xludf.DUMMYFUNCTION("""COMPUTED_VALUE"""),"Product")</f>
        <v>Product</v>
      </c>
      <c r="N45" s="2" t="str">
        <f ca="1">IFERROR(__xludf.DUMMYFUNCTION("""COMPUTED_VALUE"""),"ข้อ 152 Pharma Plus เล่มม่วง (เฉลยข้อ ค)")</f>
        <v>ข้อ 152 Pharma Plus เล่มม่วง (เฉลยข้อ ค)</v>
      </c>
      <c r="O45" s="2" t="str">
        <f ca="1">IFERROR(__xludf.DUMMYFUNCTION("""COMPUTED_VALUE"""),"Mock")</f>
        <v>Mock</v>
      </c>
      <c r="P45" s="2" t="str">
        <f ca="1">IFERROR(__xludf.DUMMYFUNCTION("""COMPUTED_VALUE"""),"Pharma Plus เล่มม่วง")</f>
        <v>Pharma Plus เล่มม่วง</v>
      </c>
    </row>
    <row r="46" spans="1:16" ht="13.2" customHeight="1" x14ac:dyDescent="0.25">
      <c r="A46" s="2" t="str">
        <f ca="1">IFERROR(__xludf.DUMMYFUNCTION("""COMPUTED_VALUE"""),"153")</f>
        <v>153</v>
      </c>
      <c r="B46" s="2" t="str">
        <f ca="1">IFERROR(__xludf.DUMMYFUNCTION("""COMPUTED_VALUE"""),"ข้อใดไม่เกี่ยวกับการควบคุมคุณภาพ ยาเม็ด norfloxacin")</f>
        <v>ข้อใดไม่เกี่ยวกับการควบคุมคุณภาพ ยาเม็ด norfloxacin</v>
      </c>
      <c r="C46" s="2"/>
      <c r="D46" s="2" t="str">
        <f ca="1">IFERROR(__xludf.DUMMYFUNCTION("""COMPUTED_VALUE"""),"Content Uniformity")</f>
        <v>Content Uniformity</v>
      </c>
      <c r="E46" s="2" t="str">
        <f ca="1">IFERROR(__xludf.DUMMYFUNCTION("""COMPUTED_VALUE"""),"Dissolution test")</f>
        <v>Dissolution test</v>
      </c>
      <c r="F46" s="2" t="str">
        <f ca="1">IFERROR(__xludf.DUMMYFUNCTION("""COMPUTED_VALUE"""),"Disintegration")</f>
        <v>Disintegration</v>
      </c>
      <c r="G46" s="2" t="str">
        <f ca="1">IFERROR(__xludf.DUMMYFUNCTION("""COMPUTED_VALUE"""),"Weight Variation")</f>
        <v>Weight Variation</v>
      </c>
      <c r="H46" s="2" t="str">
        <f ca="1">IFERROR(__xludf.DUMMYFUNCTION("""COMPUTED_VALUE"""),"Limulus Amoebocyte Lysate test")</f>
        <v>Limulus Amoebocyte Lysate test</v>
      </c>
      <c r="I46" s="2" t="str">
        <f ca="1">IFERROR(__xludf.DUMMYFUNCTION("""COMPUTED_VALUE"""),"5")</f>
        <v>5</v>
      </c>
      <c r="J46" s="2" t="str">
        <f ca="1">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6" s="2"/>
      <c r="L46" s="2" t="str">
        <f ca="1">IFERROR(__xludf.DUMMYFUNCTION("""COMPUTED_VALUE"""),"Tablet Manufacturing")</f>
        <v>Tablet Manufacturing</v>
      </c>
      <c r="M46" s="2" t="str">
        <f ca="1">IFERROR(__xludf.DUMMYFUNCTION("""COMPUTED_VALUE"""),"Product")</f>
        <v>Product</v>
      </c>
      <c r="N46" s="2" t="str">
        <f ca="1">IFERROR(__xludf.DUMMYFUNCTION("""COMPUTED_VALUE"""),"ข้อ 153 Pharma Plus เล่มม่วง (เฉลยข้อ จ)")</f>
        <v>ข้อ 153 Pharma Plus เล่มม่วง (เฉลยข้อ จ)</v>
      </c>
      <c r="O46" s="2" t="str">
        <f ca="1">IFERROR(__xludf.DUMMYFUNCTION("""COMPUTED_VALUE"""),"Mock")</f>
        <v>Mock</v>
      </c>
      <c r="P46" s="2" t="str">
        <f ca="1">IFERROR(__xludf.DUMMYFUNCTION("""COMPUTED_VALUE"""),"Pharma Plus เล่มม่วง")</f>
        <v>Pharma Plus เล่มม่วง</v>
      </c>
    </row>
    <row r="47" spans="1:16" ht="13.2" customHeight="1" x14ac:dyDescent="0.25">
      <c r="A47" s="2" t="str">
        <f ca="1">IFERROR(__xludf.DUMMYFUNCTION("""COMPUTED_VALUE"""),"154")</f>
        <v>154</v>
      </c>
      <c r="B47" s="2" t="str">
        <f ca="1">IFERROR(__xludf.DUMMYFUNCTION("""COMPUTED_VALUE"""),"สารทำ emulsion ที่ดีของยาครีม isotretinoin ควรมีคุณสมบัติ")</f>
        <v>สารทำ emulsion ที่ดีของยาครีม isotretinoin ควรมีคุณสมบัติ</v>
      </c>
      <c r="C47" s="2"/>
      <c r="D47" s="2" t="str">
        <f ca="1">IFERROR(__xludf.DUMMYFUNCTION("""COMPUTED_VALUE"""),"ลดแรงตึงผิว")</f>
        <v>ลดแรงตึงผิว</v>
      </c>
      <c r="E47" s="2" t="str">
        <f ca="1">IFERROR(__xludf.DUMMYFUNCTION("""COMPUTED_VALUE"""),"เพิ่มความหนืดให้กับครีม")</f>
        <v>เพิ่มความหนืดให้กับครีม</v>
      </c>
      <c r="F47" s="2" t="str">
        <f ca="1">IFERROR(__xludf.DUMMYFUNCTION("""COMPUTED_VALUE"""),"ให้ศักย์ไฟฟ้าที่เหมาะสมเพื่อให้เกิดแรงผลักของหยด")</f>
        <v>ให้ศักย์ไฟฟ้าที่เหมาะสมเพื่อให้เกิดแรงผลักของหยด</v>
      </c>
      <c r="G47" s="2" t="str">
        <f ca="1">IFERROR(__xludf.DUMMYFUNCTION("""COMPUTED_VALUE"""),"มีประสิทธิภาพความเข้มข้นต่ำ")</f>
        <v>มีประสิทธิภาพความเข้มข้นต่ำ</v>
      </c>
      <c r="H47" s="2" t="str">
        <f ca="1">IFERROR(__xludf.DUMMYFUNCTION("""COMPUTED_VALUE"""),"ถูกทุกข้อ")</f>
        <v>ถูกทุกข้อ</v>
      </c>
      <c r="I47" s="2" t="str">
        <f ca="1">IFERROR(__xludf.DUMMYFUNCTION("""COMPUTED_VALUE"""),"5")</f>
        <v>5</v>
      </c>
      <c r="J47" s="2" t="str">
        <f ca="1">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7" s="2"/>
      <c r="L47" s="2" t="str">
        <f ca="1">IFERROR(__xludf.DUMMYFUNCTION("""COMPUTED_VALUE"""),"Tablet Manufacturing")</f>
        <v>Tablet Manufacturing</v>
      </c>
      <c r="M47" s="2" t="str">
        <f ca="1">IFERROR(__xludf.DUMMYFUNCTION("""COMPUTED_VALUE"""),"Product")</f>
        <v>Product</v>
      </c>
      <c r="N47" s="2" t="str">
        <f ca="1">IFERROR(__xludf.DUMMYFUNCTION("""COMPUTED_VALUE"""),"ข้อ 154 Pharma Plus เล่มม่วง (เฉลยข้อ จ)")</f>
        <v>ข้อ 154 Pharma Plus เล่มม่วง (เฉลยข้อ จ)</v>
      </c>
      <c r="O47" s="2" t="str">
        <f ca="1">IFERROR(__xludf.DUMMYFUNCTION("""COMPUTED_VALUE"""),"Mock")</f>
        <v>Mock</v>
      </c>
      <c r="P47" s="2" t="str">
        <f ca="1">IFERROR(__xludf.DUMMYFUNCTION("""COMPUTED_VALUE"""),"Pharma Plus เล่มม่วง")</f>
        <v>Pharma Plus เล่มม่วง</v>
      </c>
    </row>
    <row r="48" spans="1:16" ht="13.2" customHeight="1" x14ac:dyDescent="0.25">
      <c r="A48" s="2" t="str">
        <f ca="1">IFERROR(__xludf.DUMMYFUNCTION("""COMPUTED_VALUE"""),"155")</f>
        <v>155</v>
      </c>
      <c r="B48" s="2" t="str">
        <f ca="1">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v>
      </c>
      <c r="C48" s="2"/>
      <c r="D48" s="2" t="str">
        <f ca="1">IFERROR(__xludf.DUMMYFUNCTION("""COMPUTED_VALUE"""),"Sodium alginate, bentonite, methylcellulose")</f>
        <v>Sodium alginate, bentonite, methylcellulose</v>
      </c>
      <c r="E48" s="2" t="str">
        <f ca="1">IFERROR(__xludf.DUMMYFUNCTION("""COMPUTED_VALUE"""),"Tragacanth, carbomer, methylcellulose")</f>
        <v>Tragacanth, carbomer, methylcellulose</v>
      </c>
      <c r="F48" s="2" t="str">
        <f ca="1">IFERROR(__xludf.DUMMYFUNCTION("""COMPUTED_VALUE"""),"Carbomer, methylcellulose, hydroxypropyl cellulose")</f>
        <v>Carbomer, methylcellulose, hydroxypropyl cellulose</v>
      </c>
      <c r="G48" s="2" t="str">
        <f ca="1">IFERROR(__xludf.DUMMYFUNCTION("""COMPUTED_VALUE"""),"Pectin, guar gum, carbomer")</f>
        <v>Pectin, guar gum, carbomer</v>
      </c>
      <c r="H48" s="2" t="str">
        <f ca="1">IFERROR(__xludf.DUMMYFUNCTION("""COMPUTED_VALUE"""),"Tragacanth, carboxymethylcellulose, carbomer")</f>
        <v>Tragacanth, carboxymethylcellulose, carbomer</v>
      </c>
      <c r="I48" s="2" t="str">
        <f ca="1">IFERROR(__xludf.DUMMYFUNCTION("""COMPUTED_VALUE"""),"5")</f>
        <v>5</v>
      </c>
      <c r="J48" s="2" t="str">
        <f ca="1">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8" s="2"/>
      <c r="L48" s="2" t="str">
        <f ca="1">IFERROR(__xludf.DUMMYFUNCTION("""COMPUTED_VALUE"""),"Tablet Manufacturing")</f>
        <v>Tablet Manufacturing</v>
      </c>
      <c r="M48" s="2" t="str">
        <f ca="1">IFERROR(__xludf.DUMMYFUNCTION("""COMPUTED_VALUE"""),"Product")</f>
        <v>Product</v>
      </c>
      <c r="N48" s="2" t="str">
        <f ca="1">IFERROR(__xludf.DUMMYFUNCTION("""COMPUTED_VALUE"""),"ข้อ 155 Pharma Plus เล่มม่วง (เฉลยข้อ จ)")</f>
        <v>ข้อ 155 Pharma Plus เล่มม่วง (เฉลยข้อ จ)</v>
      </c>
      <c r="O48" s="2" t="str">
        <f ca="1">IFERROR(__xludf.DUMMYFUNCTION("""COMPUTED_VALUE"""),"Mock")</f>
        <v>Mock</v>
      </c>
      <c r="P48" s="2" t="str">
        <f ca="1">IFERROR(__xludf.DUMMYFUNCTION("""COMPUTED_VALUE"""),"Pharma Plus เล่มม่วง")</f>
        <v>Pharma Plus เล่มม่วง</v>
      </c>
    </row>
    <row r="49" spans="1:16" ht="13.2" customHeight="1" x14ac:dyDescent="0.25">
      <c r="A49" s="2" t="str">
        <f ca="1">IFERROR(__xludf.DUMMYFUNCTION("""COMPUTED_VALUE"""),"156")</f>
        <v>156</v>
      </c>
      <c r="B49" s="2" t="str">
        <f ca="1">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v>
      </c>
      <c r="C49" s="2"/>
      <c r="D49" s="2" t="str">
        <f ca="1">IFERROR(__xludf.DUMMYFUNCTION("""COMPUTED_VALUE"""),"Mineral oil")</f>
        <v>Mineral oil</v>
      </c>
      <c r="E49" s="2" t="str">
        <f ca="1">IFERROR(__xludf.DUMMYFUNCTION("""COMPUTED_VALUE"""),"Carbopol")</f>
        <v>Carbopol</v>
      </c>
      <c r="F49" s="2" t="str">
        <f ca="1">IFERROR(__xludf.DUMMYFUNCTION("""COMPUTED_VALUE"""),"White beeswax")</f>
        <v>White beeswax</v>
      </c>
      <c r="G49" s="2" t="str">
        <f ca="1">IFERROR(__xludf.DUMMYFUNCTION("""COMPUTED_VALUE"""),"PEG 4000")</f>
        <v>PEG 4000</v>
      </c>
      <c r="H49" s="2" t="str">
        <f ca="1">IFERROR(__xludf.DUMMYFUNCTION("""COMPUTED_VALUE"""),"Glycerin")</f>
        <v>Glycerin</v>
      </c>
      <c r="I49" s="2" t="str">
        <f ca="1">IFERROR(__xludf.DUMMYFUNCTION("""COMPUTED_VALUE"""),"3")</f>
        <v>3</v>
      </c>
      <c r="J49" s="2" t="str">
        <f ca="1">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49" s="2"/>
      <c r="L49" s="2" t="str">
        <f ca="1">IFERROR(__xludf.DUMMYFUNCTION("""COMPUTED_VALUE"""),"Tablet Manufacturing")</f>
        <v>Tablet Manufacturing</v>
      </c>
      <c r="M49" s="2" t="str">
        <f ca="1">IFERROR(__xludf.DUMMYFUNCTION("""COMPUTED_VALUE"""),"Product")</f>
        <v>Product</v>
      </c>
      <c r="N49" s="2" t="str">
        <f ca="1">IFERROR(__xludf.DUMMYFUNCTION("""COMPUTED_VALUE"""),"ข้อ 156 Pharma Plus เล่มม่วง (เฉลยข้อ ค)")</f>
        <v>ข้อ 156 Pharma Plus เล่มม่วง (เฉลยข้อ ค)</v>
      </c>
      <c r="O49" s="2" t="str">
        <f ca="1">IFERROR(__xludf.DUMMYFUNCTION("""COMPUTED_VALUE"""),"Mock")</f>
        <v>Mock</v>
      </c>
      <c r="P49" s="2" t="str">
        <f ca="1">IFERROR(__xludf.DUMMYFUNCTION("""COMPUTED_VALUE"""),"Pharma Plus เล่มม่วง")</f>
        <v>Pharma Plus เล่มม่วง</v>
      </c>
    </row>
    <row r="50" spans="1:16" ht="13.2" customHeight="1" x14ac:dyDescent="0.25">
      <c r="A50" s="2" t="str">
        <f ca="1">IFERROR(__xludf.DUMMYFUNCTION("""COMPUTED_VALUE"""),"163")</f>
        <v>163</v>
      </c>
      <c r="B50" s="2" t="str">
        <f ca="1">IFERROR(__xludf.DUMMYFUNCTION("""COMPUTED_VALUE"""),"สาร polymer ตัวใดนิยมใช้ในการทำ film coat tablet")</f>
        <v>สาร polymer ตัวใดนิยมใช้ในการทำ film coat tablet</v>
      </c>
      <c r="C50" s="2"/>
      <c r="D50" s="2" t="str">
        <f ca="1">IFERROR(__xludf.DUMMYFUNCTION("""COMPUTED_VALUE"""),"HPMC")</f>
        <v>HPMC</v>
      </c>
      <c r="E50" s="2" t="str">
        <f ca="1">IFERROR(__xludf.DUMMYFUNCTION("""COMPUTED_VALUE"""),"CMC")</f>
        <v>CMC</v>
      </c>
      <c r="F50" s="2" t="str">
        <f ca="1">IFERROR(__xludf.DUMMYFUNCTION("""COMPUTED_VALUE"""),"Polymeric methacrylates")</f>
        <v>Polymeric methacrylates</v>
      </c>
      <c r="G50" s="2" t="str">
        <f ca="1">IFERROR(__xludf.DUMMYFUNCTION("""COMPUTED_VALUE"""),"Carbopol")</f>
        <v>Carbopol</v>
      </c>
      <c r="H50" s="2" t="str">
        <f ca="1">IFERROR(__xludf.DUMMYFUNCTION("""COMPUTED_VALUE"""),"Veegum")</f>
        <v>Veegum</v>
      </c>
      <c r="I50" s="2" t="str">
        <f ca="1">IFERROR(__xludf.DUMMYFUNCTION("""COMPUTED_VALUE"""),"1")</f>
        <v>1</v>
      </c>
      <c r="J50" s="2" t="str">
        <f ca="1">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0" s="2"/>
      <c r="L50" s="2" t="str">
        <f ca="1">IFERROR(__xludf.DUMMYFUNCTION("""COMPUTED_VALUE"""),"Tablet Coating")</f>
        <v>Tablet Coating</v>
      </c>
      <c r="M50" s="2" t="str">
        <f ca="1">IFERROR(__xludf.DUMMYFUNCTION("""COMPUTED_VALUE"""),"Product")</f>
        <v>Product</v>
      </c>
      <c r="N50" s="2" t="str">
        <f ca="1">IFERROR(__xludf.DUMMYFUNCTION("""COMPUTED_VALUE"""),"ข้อ 163 Pharma Plus เล่มม่วง (เฉลยข้อ ก)")</f>
        <v>ข้อ 163 Pharma Plus เล่มม่วง (เฉลยข้อ ก)</v>
      </c>
      <c r="O50" s="2" t="str">
        <f ca="1">IFERROR(__xludf.DUMMYFUNCTION("""COMPUTED_VALUE"""),"Mock")</f>
        <v>Mock</v>
      </c>
      <c r="P50" s="2" t="str">
        <f ca="1">IFERROR(__xludf.DUMMYFUNCTION("""COMPUTED_VALUE"""),"Pharma Plus เล่มม่วง")</f>
        <v>Pharma Plus เล่มม่วง</v>
      </c>
    </row>
    <row r="51" spans="1:16" ht="13.2" customHeight="1" x14ac:dyDescent="0.25">
      <c r="A51" s="2" t="str">
        <f ca="1">IFERROR(__xludf.DUMMYFUNCTION("""COMPUTED_VALUE"""),"164")</f>
        <v>164</v>
      </c>
      <c r="B51" s="2" t="str">
        <f ca="1">IFERROR(__xludf.DUMMYFUNCTION("""COMPUTED_VALUE"""),"ข้อใดกล่าวผิดเกี่ยวกับยารูปแบบเม็ด")</f>
        <v>ข้อใดกล่าวผิดเกี่ยวกับยารูปแบบเม็ด</v>
      </c>
      <c r="C51" s="2"/>
      <c r="D51" s="2" t="str">
        <f ca="1">IFERROR(__xludf.DUMMYFUNCTION("""COMPUTED_VALUE"""),"การเตรียมยา solution ทำได้โดยการใช้ตัวทำละลายร่วมที่เป็น organic solvent เพื่อช่วยละลาย")</f>
        <v>การเตรียมยา solution ทำได้โดยการใช้ตัวทำละลายร่วมที่เป็น organic solvent เพื่อช่วยละลาย</v>
      </c>
      <c r="E51" s="2" t="str">
        <f ca="1">IFERROR(__xludf.DUMMYFUNCTION("""COMPUTED_VALUE"""),"ยารูปแบบ solution มักมีค่าความต้านทานการไหลและแรงตึงผิวภายในสารละลายใกล้เคียงกับน้ำ")</f>
        <v>ยารูปแบบ solution มักมีค่าความต้านทานการไหลและแรงตึงผิวภายในสารละลายใกล้เคียงกับน้ำ</v>
      </c>
      <c r="F51" s="2" t="str">
        <f ca="1">IFERROR(__xludf.DUMMYFUNCTION("""COMPUTED_VALUE"""),"Suspension ใช้เป็นยาฉีดเข้าหลอดเลือดได้ ถ้าขนาดอนุภาคเล็กมากๆ")</f>
        <v>Suspension ใช้เป็นยาฉีดเข้าหลอดเลือดได้ ถ้าขนาดอนุภาคเล็กมากๆ</v>
      </c>
      <c r="G51" s="2" t="str">
        <f ca="1">IFERROR(__xludf.DUMMYFUNCTION("""COMPUTED_VALUE"""),"Emulsion ใช้เป็นอาหารทางหลอดเลือดดำได้แต่ควรเป็นการเตรียมใหม่ๆ")</f>
        <v>Emulsion ใช้เป็นอาหารทางหลอดเลือดดำได้แต่ควรเป็นการเตรียมใหม่ๆ</v>
      </c>
      <c r="H51" s="2" t="str">
        <f ca="1">IFERROR(__xludf.DUMMYFUNCTION("""COMPUTED_VALUE"""),"การลดความเจ็บปวดเมื่อฉีดทำได้โดยเติมสารบางชนิดเช่น buffer")</f>
        <v>การลดความเจ็บปวดเมื่อฉีดทำได้โดยเติมสารบางชนิดเช่น buffer</v>
      </c>
      <c r="I51" s="2" t="str">
        <f ca="1">IFERROR(__xludf.DUMMYFUNCTION("""COMPUTED_VALUE"""),"1")</f>
        <v>1</v>
      </c>
      <c r="J51" s="2" t="str">
        <f ca="1">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1" s="2"/>
      <c r="L51" s="2" t="str">
        <f ca="1">IFERROR(__xludf.DUMMYFUNCTION("""COMPUTED_VALUE"""),"Tablet Manufacturing")</f>
        <v>Tablet Manufacturing</v>
      </c>
      <c r="M51" s="2" t="str">
        <f ca="1">IFERROR(__xludf.DUMMYFUNCTION("""COMPUTED_VALUE"""),"Product")</f>
        <v>Product</v>
      </c>
      <c r="N51" s="2" t="str">
        <f ca="1">IFERROR(__xludf.DUMMYFUNCTION("""COMPUTED_VALUE"""),"ข้อ 164 Pharma Plus เล่มม่วง (เฉลยข้อ ไมมีคำตอบ)")</f>
        <v>ข้อ 164 Pharma Plus เล่มม่วง (เฉลยข้อ ไมมีคำตอบ)</v>
      </c>
      <c r="O51" s="2" t="str">
        <f ca="1">IFERROR(__xludf.DUMMYFUNCTION("""COMPUTED_VALUE"""),"Mock")</f>
        <v>Mock</v>
      </c>
      <c r="P51" s="2" t="str">
        <f ca="1">IFERROR(__xludf.DUMMYFUNCTION("""COMPUTED_VALUE"""),"Pharma Plus เล่มม่วง")</f>
        <v>Pharma Plus เล่มม่วง</v>
      </c>
    </row>
    <row r="52" spans="1:16" ht="13.2" customHeight="1" x14ac:dyDescent="0.25">
      <c r="A52" s="2" t="str">
        <f ca="1">IFERROR(__xludf.DUMMYFUNCTION("""COMPUTED_VALUE"""),"165")</f>
        <v>165</v>
      </c>
      <c r="B52" s="2" t="str">
        <f ca="1">IFERROR(__xludf.DUMMYFUNCTION("""COMPUTED_VALUE"""),"ข้อใดถูกต้องที่สุดเกี่ยวกับ tonicity ของยาฉีด")</f>
        <v>ข้อใดถูกต้องที่สุดเกี่ยวกับ tonicity ของยาฉีด</v>
      </c>
      <c r="C52" s="2"/>
      <c r="D52" s="2" t="str">
        <f ca="1">IFERROR(__xludf.DUMMYFUNCTION("""COMPUTED_VALUE"""),"จัดเป็น colligative property")</f>
        <v>จัดเป็น colligative property</v>
      </c>
      <c r="E52" s="2" t="str">
        <f ca="1">IFERROR(__xludf.DUMMYFUNCTION("""COMPUTED_VALUE"""),"สามารถปรับได้โดยเติมสารบางชนิด เช่น phosphate acetate ซึ่งนิยมมาก")</f>
        <v>สามารถปรับได้โดยเติมสารบางชนิด เช่น phosphate acetate ซึ่งนิยมมาก</v>
      </c>
      <c r="F52" s="2" t="str">
        <f ca="1">IFERROR(__xludf.DUMMYFUNCTION("""COMPUTED_VALUE"""),"การฉีด hypertonic solution ก่อให้เกิด cell lysis ได้")</f>
        <v>การฉีด hypertonic solution ก่อให้เกิด cell lysis ได้</v>
      </c>
      <c r="G52" s="2" t="str">
        <f ca="1">IFERROR(__xludf.DUMMYFUNCTION("""COMPUTED_VALUE"""),"การฉีดยา isotonic ต่อระบบเลือด มักเป็น isotonic ต่อเนื้อเยื่ออื่นด้วย")</f>
        <v>การฉีดยา isotonic ต่อระบบเลือด มักเป็น isotonic ต่อเนื้อเยื่ออื่นด้วย</v>
      </c>
      <c r="H52" s="2" t="str">
        <f ca="1">IFERROR(__xludf.DUMMYFUNCTION("""COMPUTED_VALUE"""),"Normal saline เป็นทั้ง isotonic และ iso-osmotic")</f>
        <v>Normal saline เป็นทั้ง isotonic และ iso-osmotic</v>
      </c>
      <c r="I52" s="2" t="str">
        <f ca="1">IFERROR(__xludf.DUMMYFUNCTION("""COMPUTED_VALUE"""),"5")</f>
        <v>5</v>
      </c>
      <c r="J52" s="2" t="str">
        <f ca="1">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2" s="2"/>
      <c r="L52" s="2" t="str">
        <f ca="1">IFERROR(__xludf.DUMMYFUNCTION("""COMPUTED_VALUE"""),"Tablet Manufacturing")</f>
        <v>Tablet Manufacturing</v>
      </c>
      <c r="M52" s="2" t="str">
        <f ca="1">IFERROR(__xludf.DUMMYFUNCTION("""COMPUTED_VALUE"""),"Product")</f>
        <v>Product</v>
      </c>
      <c r="N52" s="2" t="str">
        <f ca="1">IFERROR(__xludf.DUMMYFUNCTION("""COMPUTED_VALUE"""),"ข้อ 165 Pharma Plus เล่มม่วง (เฉลยข้อ จ)")</f>
        <v>ข้อ 165 Pharma Plus เล่มม่วง (เฉลยข้อ จ)</v>
      </c>
      <c r="O52" s="2" t="str">
        <f ca="1">IFERROR(__xludf.DUMMYFUNCTION("""COMPUTED_VALUE"""),"Mock")</f>
        <v>Mock</v>
      </c>
      <c r="P52" s="2" t="str">
        <f ca="1">IFERROR(__xludf.DUMMYFUNCTION("""COMPUTED_VALUE"""),"Pharma Plus เล่มม่วง")</f>
        <v>Pharma Plus เล่มม่วง</v>
      </c>
    </row>
    <row r="53" spans="1:16" ht="13.2" customHeight="1" x14ac:dyDescent="0.25">
      <c r="A53" s="2" t="str">
        <f ca="1">IFERROR(__xludf.DUMMYFUNCTION("""COMPUTED_VALUE"""),"166")</f>
        <v>166</v>
      </c>
      <c r="B53" s="2" t="str">
        <f ca="1">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v>
      </c>
      <c r="C53" s="2"/>
      <c r="D53" s="2" t="str">
        <f ca="1">IFERROR(__xludf.DUMMYFUNCTION("""COMPUTED_VALUE"""),"Spray dried lactose")</f>
        <v>Spray dried lactose</v>
      </c>
      <c r="E53" s="2" t="str">
        <f ca="1">IFERROR(__xludf.DUMMYFUNCTION("""COMPUTED_VALUE"""),"Microcrystalline cellulose")</f>
        <v>Microcrystalline cellulose</v>
      </c>
      <c r="F53" s="2" t="str">
        <f ca="1">IFERROR(__xludf.DUMMYFUNCTION("""COMPUTED_VALUE"""),"Tapioca starch")</f>
        <v>Tapioca starch</v>
      </c>
      <c r="G53" s="2" t="str">
        <f ca="1">IFERROR(__xludf.DUMMYFUNCTION("""COMPUTED_VALUE"""),"Dibasic calcium phosphate")</f>
        <v>Dibasic calcium phosphate</v>
      </c>
      <c r="H53" s="2" t="str">
        <f ca="1">IFERROR(__xludf.DUMMYFUNCTION("""COMPUTED_VALUE"""),"Mannitol")</f>
        <v>Mannitol</v>
      </c>
      <c r="I53" s="2" t="str">
        <f ca="1">IFERROR(__xludf.DUMMYFUNCTION("""COMPUTED_VALUE"""),"1")</f>
        <v>1</v>
      </c>
      <c r="J53" s="2" t="str">
        <f ca="1">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3" s="2"/>
      <c r="L53" s="2" t="str">
        <f ca="1">IFERROR(__xludf.DUMMYFUNCTION("""COMPUTED_VALUE"""),"Hard &amp; Soft Gelatin Capsules")</f>
        <v>Hard &amp; Soft Gelatin Capsules</v>
      </c>
      <c r="M53" s="2" t="str">
        <f ca="1">IFERROR(__xludf.DUMMYFUNCTION("""COMPUTED_VALUE"""),"Product")</f>
        <v>Product</v>
      </c>
      <c r="N53" s="2" t="str">
        <f ca="1">IFERROR(__xludf.DUMMYFUNCTION("""COMPUTED_VALUE"""),"ข้อ 166 Pharma Plus เล่มม่วง (เฉลยข้อ ก)")</f>
        <v>ข้อ 166 Pharma Plus เล่มม่วง (เฉลยข้อ ก)</v>
      </c>
      <c r="O53" s="2" t="str">
        <f ca="1">IFERROR(__xludf.DUMMYFUNCTION("""COMPUTED_VALUE"""),"Mock")</f>
        <v>Mock</v>
      </c>
      <c r="P53" s="2" t="str">
        <f ca="1">IFERROR(__xludf.DUMMYFUNCTION("""COMPUTED_VALUE"""),"Pharma Plus เล่มม่วง")</f>
        <v>Pharma Plus เล่มม่วง</v>
      </c>
    </row>
    <row r="54" spans="1:16" ht="13.2" customHeight="1" x14ac:dyDescent="0.25">
      <c r="A54" s="2" t="str">
        <f ca="1">IFERROR(__xludf.DUMMYFUNCTION("""COMPUTED_VALUE"""),"167")</f>
        <v>167</v>
      </c>
      <c r="B54" s="2" t="str">
        <f ca="1">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v>
      </c>
      <c r="C54" s="2"/>
      <c r="D54" s="2" t="str">
        <f ca="1">IFERROR(__xludf.DUMMYFUNCTION("""COMPUTED_VALUE"""),"ผงยามีการกระจายขนาดอนุภาคในช่วงแคบ")</f>
        <v>ผงยามีการกระจายขนาดอนุภาคในช่วงแคบ</v>
      </c>
      <c r="E54" s="2" t="str">
        <f ca="1">IFERROR(__xludf.DUMMYFUNCTION("""COMPUTED_VALUE"""),"ผงยามีค่า angle of repose ต่ำ")</f>
        <v>ผงยามีค่า angle of repose ต่ำ</v>
      </c>
      <c r="F54" s="2" t="str">
        <f ca="1">IFERROR(__xludf.DUMMYFUNCTION("""COMPUTED_VALUE"""),"สารเจือจางมีความหนาแน่นใกล้เคียงตัวยาสำคัญ")</f>
        <v>สารเจือจางมีความหนาแน่นใกล้เคียงตัวยาสำคัญ</v>
      </c>
      <c r="G54" s="2" t="str">
        <f ca="1">IFERROR(__xludf.DUMMYFUNCTION("""COMPUTED_VALUE"""),"ปริมาณของตัวยาและสารช่วยรวมกัน ควรบรรจุขอบ body ของเปลือก capsule ได้เต็มหรือเกือบเต็ม")</f>
        <v>ปริมาณของตัวยาและสารช่วยรวมกัน ควรบรรจุขอบ body ของเปลือก capsule ได้เต็มหรือเกือบเต็ม</v>
      </c>
      <c r="H54" s="2" t="str">
        <f ca="1">IFERROR(__xludf.DUMMYFUNCTION("""COMPUTED_VALUE"""),"สารช่วยการไหลที่ใช้มีคุณสมบัติเป็น true lubricant มากกว่า glidant")</f>
        <v>สารช่วยการไหลที่ใช้มีคุณสมบัติเป็น true lubricant มากกว่า glidant</v>
      </c>
      <c r="I54" s="2" t="str">
        <f ca="1">IFERROR(__xludf.DUMMYFUNCTION("""COMPUTED_VALUE"""),"5")</f>
        <v>5</v>
      </c>
      <c r="J54" s="2" t="str">
        <f ca="1">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4" s="2"/>
      <c r="L54" s="2" t="str">
        <f ca="1">IFERROR(__xludf.DUMMYFUNCTION("""COMPUTED_VALUE"""),"Hard &amp; Soft Gelatin Capsules")</f>
        <v>Hard &amp; Soft Gelatin Capsules</v>
      </c>
      <c r="M54" s="2" t="str">
        <f ca="1">IFERROR(__xludf.DUMMYFUNCTION("""COMPUTED_VALUE"""),"Product")</f>
        <v>Product</v>
      </c>
      <c r="N54" s="2" t="str">
        <f ca="1">IFERROR(__xludf.DUMMYFUNCTION("""COMPUTED_VALUE"""),"ข้อ 167 Pharma Plus เล่มม่วง (เฉลยข้อ จ)")</f>
        <v>ข้อ 167 Pharma Plus เล่มม่วง (เฉลยข้อ จ)</v>
      </c>
      <c r="O54" s="2" t="str">
        <f ca="1">IFERROR(__xludf.DUMMYFUNCTION("""COMPUTED_VALUE"""),"Mock")</f>
        <v>Mock</v>
      </c>
      <c r="P54" s="2" t="str">
        <f ca="1">IFERROR(__xludf.DUMMYFUNCTION("""COMPUTED_VALUE"""),"Pharma Plus เล่มม่วง")</f>
        <v>Pharma Plus เล่มม่วง</v>
      </c>
    </row>
    <row r="55" spans="1:16" ht="13.2" customHeight="1" x14ac:dyDescent="0.25">
      <c r="A55" s="2" t="str">
        <f ca="1">IFERROR(__xludf.DUMMYFUNCTION("""COMPUTED_VALUE"""),"168")</f>
        <v>168</v>
      </c>
      <c r="B55" s="2" t="str">
        <f ca="1">IFERROR(__xludf.DUMMYFUNCTION("""COMPUTED_VALUE"""),"ตำรับ aspirin suspension ที่เตรียมแล้วพบว่า เมื่อตั้งทิ้งไว้เป็นก้อนแข็ง เรียกปรากฏการณ์นี้ว่า")</f>
        <v>ตำรับ aspirin suspension ที่เตรียมแล้วพบว่า เมื่อตั้งทิ้งไว้เป็นก้อนแข็ง เรียกปรากฏการณ์นี้ว่า</v>
      </c>
      <c r="C55" s="2"/>
      <c r="D55" s="2" t="str">
        <f ca="1">IFERROR(__xludf.DUMMYFUNCTION("""COMPUTED_VALUE"""),"Flocculation")</f>
        <v>Flocculation</v>
      </c>
      <c r="E55" s="2" t="str">
        <f ca="1">IFERROR(__xludf.DUMMYFUNCTION("""COMPUTED_VALUE"""),"Lamination")</f>
        <v>Lamination</v>
      </c>
      <c r="F55" s="2" t="str">
        <f ca="1">IFERROR(__xludf.DUMMYFUNCTION("""COMPUTED_VALUE"""),"Creaming")</f>
        <v>Creaming</v>
      </c>
      <c r="G55" s="2" t="str">
        <f ca="1">IFERROR(__xludf.DUMMYFUNCTION("""COMPUTED_VALUE"""),"Coalescence")</f>
        <v>Coalescence</v>
      </c>
      <c r="H55" s="2" t="str">
        <f ca="1">IFERROR(__xludf.DUMMYFUNCTION("""COMPUTED_VALUE"""),"Caking")</f>
        <v>Caking</v>
      </c>
      <c r="I55" s="2" t="str">
        <f ca="1">IFERROR(__xludf.DUMMYFUNCTION("""COMPUTED_VALUE"""),"5")</f>
        <v>5</v>
      </c>
      <c r="J55" s="2" t="str">
        <f ca="1">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5" s="2"/>
      <c r="L55" s="2" t="str">
        <f ca="1">IFERROR(__xludf.DUMMYFUNCTION("""COMPUTED_VALUE"""),"Tablet Manufacturing")</f>
        <v>Tablet Manufacturing</v>
      </c>
      <c r="M55" s="2" t="str">
        <f ca="1">IFERROR(__xludf.DUMMYFUNCTION("""COMPUTED_VALUE"""),"Product")</f>
        <v>Product</v>
      </c>
      <c r="N55" s="2" t="str">
        <f ca="1">IFERROR(__xludf.DUMMYFUNCTION("""COMPUTED_VALUE"""),"ข้อ 168 Pharma Plus เล่มม่วง (เฉลยข้อ จ)")</f>
        <v>ข้อ 168 Pharma Plus เล่มม่วง (เฉลยข้อ จ)</v>
      </c>
      <c r="O55" s="2" t="str">
        <f ca="1">IFERROR(__xludf.DUMMYFUNCTION("""COMPUTED_VALUE"""),"Mock")</f>
        <v>Mock</v>
      </c>
      <c r="P55" s="2" t="str">
        <f ca="1">IFERROR(__xludf.DUMMYFUNCTION("""COMPUTED_VALUE"""),"Pharma Plus เล่มม่วง")</f>
        <v>Pharma Plus เล่มม่วง</v>
      </c>
    </row>
    <row r="56" spans="1:16" ht="13.2" customHeight="1" x14ac:dyDescent="0.25">
      <c r="A56" s="2" t="str">
        <f ca="1">IFERROR(__xludf.DUMMYFUNCTION("""COMPUTED_VALUE"""),"180")</f>
        <v>180</v>
      </c>
      <c r="B56" s="2" t="str">
        <f ca="1">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v>
      </c>
      <c r="C56" s="2"/>
      <c r="D56" s="2" t="str">
        <f ca="1">IFERROR(__xludf.DUMMYFUNCTION("""COMPUTED_VALUE"""),"ผ่านการทดสอบใน S1 ทั้งหกเม็ด")</f>
        <v>ผ่านการทดสอบใน S1 ทั้งหกเม็ด</v>
      </c>
      <c r="E56" s="2" t="str">
        <f ca="1">IFERROR(__xludf.DUMMYFUNCTION("""COMPUTED_VALUE"""),"มี 3 เม็ดไม่ผ่านการทดสอบใน S1")</f>
        <v>มี 3 เม็ดไม่ผ่านการทดสอบใน S1</v>
      </c>
      <c r="F56" s="2" t="str">
        <f ca="1">IFERROR(__xludf.DUMMYFUNCTION("""COMPUTED_VALUE"""),"มี 1 เม็ดไม่ผ่านการทดสอบใน S1")</f>
        <v>มี 1 เม็ดไม่ผ่านการทดสอบใน S1</v>
      </c>
      <c r="G56" s="2" t="str">
        <f ca="1">IFERROR(__xludf.DUMMYFUNCTION("""COMPUTED_VALUE"""),"ต้องทำการทดสอบเพิ่มอีก 12 เม็ด")</f>
        <v>ต้องทำการทดสอบเพิ่มอีก 12 เม็ด</v>
      </c>
      <c r="H56" s="2" t="str">
        <f ca="1">IFERROR(__xludf.DUMMYFUNCTION("""COMPUTED_VALUE"""),"มี 4 เม็ดไม่ผ่านการทดสอบ")</f>
        <v>มี 4 เม็ดไม่ผ่านการทดสอบ</v>
      </c>
      <c r="I56" s="2" t="str">
        <f ca="1">IFERROR(__xludf.DUMMYFUNCTION("""COMPUTED_VALUE"""),"1")</f>
        <v>1</v>
      </c>
      <c r="J56" s="2" t="str">
        <f ca="1">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6" s="2"/>
      <c r="L56" s="2" t="str">
        <f ca="1">IFERROR(__xludf.DUMMYFUNCTION("""COMPUTED_VALUE"""),"Tablet Manufacturing")</f>
        <v>Tablet Manufacturing</v>
      </c>
      <c r="M56" s="2" t="str">
        <f ca="1">IFERROR(__xludf.DUMMYFUNCTION("""COMPUTED_VALUE"""),"Product")</f>
        <v>Product</v>
      </c>
      <c r="N56" s="2" t="str">
        <f ca="1">IFERROR(__xludf.DUMMYFUNCTION("""COMPUTED_VALUE"""),"ข้อ 180 Pharma Plus เล่มม่วง (เฉลยข้อ )")</f>
        <v>ข้อ 180 Pharma Plus เล่มม่วง (เฉลยข้อ )</v>
      </c>
      <c r="O56" s="2" t="str">
        <f ca="1">IFERROR(__xludf.DUMMYFUNCTION("""COMPUTED_VALUE"""),"Mock")</f>
        <v>Mock</v>
      </c>
      <c r="P56" s="2" t="str">
        <f ca="1">IFERROR(__xludf.DUMMYFUNCTION("""COMPUTED_VALUE"""),"Pharma Plus เล่มม่วง")</f>
        <v>Pharma Plus เล่มม่วง</v>
      </c>
    </row>
    <row r="57" spans="1:16" ht="13.2" customHeight="1" x14ac:dyDescent="0.25">
      <c r="A57" s="2" t="str">
        <f ca="1">IFERROR(__xludf.DUMMYFUNCTION("""COMPUTED_VALUE"""),"181")</f>
        <v>181</v>
      </c>
      <c r="B57" s="2" t="str">
        <f ca="1">IFERROR(__xludf.DUMMYFUNCTION("""COMPUTED_VALUE"""),"ยาของบริษัทใดมีความสามารถในการละลายน้ำที่ดีกว่ากัน")</f>
        <v>ยาของบริษัทใดมีความสามารถในการละลายน้ำที่ดีกว่ากัน</v>
      </c>
      <c r="C57" s="2"/>
      <c r="D57" s="2" t="str">
        <f ca="1">IFERROR(__xludf.DUMMYFUNCTION("""COMPUTED_VALUE"""),"ยาของบริษัท A ละลายน้ำได้ดีกว่า บริษัท B เนื่องจากมี lactose ทำให้ละลายน้ำได้ดีกว่า")</f>
        <v>ยาของบริษัท A ละลายน้ำได้ดีกว่า บริษัท B เนื่องจากมี lactose ทำให้ละลายน้ำได้ดีกว่า</v>
      </c>
      <c r="E57" s="2" t="str">
        <f ca="1">IFERROR(__xludf.DUMMYFUNCTION("""COMPUTED_VALUE"""),"ยาของบริษัท A ละลายน้ำได้ดีกว่า บริษัท B เนื่องจากมีปริมาณ magnesium stearate มากกว่า")</f>
        <v>ยาของบริษัท A ละลายน้ำได้ดีกว่า บริษัท B เนื่องจากมีปริมาณ magnesium stearate มากกว่า</v>
      </c>
      <c r="F57" s="2" t="str">
        <f ca="1">IFERROR(__xludf.DUMMYFUNCTION("""COMPUTED_VALUE"""),"ยาของบริษัท B ละลายน้ำได้ดีกว่า บริษัท A เนื่องจากมี microcrystalline cellulose ช่วยในการละลาย")</f>
        <v>ยาของบริษัท B ละลายน้ำได้ดีกว่า บริษัท A เนื่องจากมี microcrystalline cellulose ช่วยในการละลาย</v>
      </c>
      <c r="G57" s="2" t="str">
        <f ca="1">IFERROR(__xludf.DUMMYFUNCTION("""COMPUTED_VALUE"""),"ยาของบริษัท B ละลายน้ำได้ดีกว่า บริษัท A เนื่องจากมี sodium lauryl sulfate เป็น wetting agent")</f>
        <v>ยาของบริษัท B ละลายน้ำได้ดีกว่า บริษัท A เนื่องจากมี sodium lauryl sulfate เป็น wetting agent</v>
      </c>
      <c r="H57" s="2" t="str">
        <f ca="1">IFERROR(__xludf.DUMMYFUNCTION("""COMPUTED_VALUE"""),"ยาของบริษัท A และ B ละลายน้ำได้เท่ากันเนื่องจากยา allopurinol มีคุณสมบัติละลายน้ำได้น้อยอยู่แล้ว")</f>
        <v>ยาของบริษัท A และ B ละลายน้ำได้เท่ากันเนื่องจากยา allopurinol มีคุณสมบัติละลายน้ำได้น้อยอยู่แล้ว</v>
      </c>
      <c r="I57" s="2" t="str">
        <f ca="1">IFERROR(__xludf.DUMMYFUNCTION("""COMPUTED_VALUE"""),"1")</f>
        <v>1</v>
      </c>
      <c r="J57" s="2" t="str">
        <f ca="1">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7" s="2"/>
      <c r="L57" s="2" t="str">
        <f ca="1">IFERROR(__xludf.DUMMYFUNCTION("""COMPUTED_VALUE"""),"Tablet Manufacturing")</f>
        <v>Tablet Manufacturing</v>
      </c>
      <c r="M57" s="2" t="str">
        <f ca="1">IFERROR(__xludf.DUMMYFUNCTION("""COMPUTED_VALUE"""),"Product")</f>
        <v>Product</v>
      </c>
      <c r="N57" s="2" t="str">
        <f ca="1">IFERROR(__xludf.DUMMYFUNCTION("""COMPUTED_VALUE"""),"ข้อ 181 Pharma Plus เล่มม่วง (เฉลยข้อ )")</f>
        <v>ข้อ 181 Pharma Plus เล่มม่วง (เฉลยข้อ )</v>
      </c>
      <c r="O57" s="2" t="str">
        <f ca="1">IFERROR(__xludf.DUMMYFUNCTION("""COMPUTED_VALUE"""),"Mock")</f>
        <v>Mock</v>
      </c>
      <c r="P57" s="2" t="str">
        <f ca="1">IFERROR(__xludf.DUMMYFUNCTION("""COMPUTED_VALUE"""),"Pharma Plus เล่มม่วง")</f>
        <v>Pharma Plus เล่มม่วง</v>
      </c>
    </row>
    <row r="58" spans="1:16" ht="13.2" customHeight="1" x14ac:dyDescent="0.25">
      <c r="A58" s="2" t="str">
        <f ca="1">IFERROR(__xludf.DUMMYFUNCTION("""COMPUTED_VALUE"""),"182")</f>
        <v>182</v>
      </c>
      <c r="B58" s="2" t="str">
        <f ca="1">IFERROR(__xludf.DUMMYFUNCTION("""COMPUTED_VALUE"""),"ยาเม็ดคุมกำเนิด ไม่ต้องทำการทดสอบตัวข้อใด (ตามมาตรฐานของ USP)")</f>
        <v>ยาเม็ดคุมกำเนิด ไม่ต้องทำการทดสอบตัวข้อใด (ตามมาตรฐานของ USP)</v>
      </c>
      <c r="C58" s="2"/>
      <c r="D58" s="2" t="str">
        <f ca="1">IFERROR(__xludf.DUMMYFUNCTION("""COMPUTED_VALUE"""),"Dissolution")</f>
        <v>Dissolution</v>
      </c>
      <c r="E58" s="2" t="str">
        <f ca="1">IFERROR(__xludf.DUMMYFUNCTION("""COMPUTED_VALUE"""),"Hardness")</f>
        <v>Hardness</v>
      </c>
      <c r="F58" s="2" t="str">
        <f ca="1">IFERROR(__xludf.DUMMYFUNCTION("""COMPUTED_VALUE"""),"Disintegration")</f>
        <v>Disintegration</v>
      </c>
      <c r="G58" s="2" t="str">
        <f ca="1">IFERROR(__xludf.DUMMYFUNCTION("""COMPUTED_VALUE"""),"Content of Uniformity")</f>
        <v>Content of Uniformity</v>
      </c>
      <c r="H58" s="2" t="str">
        <f ca="1">IFERROR(__xludf.DUMMYFUNCTION("""COMPUTED_VALUE"""),"Percent labeled amount")</f>
        <v>Percent labeled amount</v>
      </c>
      <c r="I58" s="2" t="str">
        <f ca="1">IFERROR(__xludf.DUMMYFUNCTION("""COMPUTED_VALUE"""),"2")</f>
        <v>2</v>
      </c>
      <c r="J58" s="2" t="str">
        <f ca="1">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8" s="2"/>
      <c r="L58" s="2" t="str">
        <f ca="1">IFERROR(__xludf.DUMMYFUNCTION("""COMPUTED_VALUE"""),"Tablet Manufacturing")</f>
        <v>Tablet Manufacturing</v>
      </c>
      <c r="M58" s="2" t="str">
        <f ca="1">IFERROR(__xludf.DUMMYFUNCTION("""COMPUTED_VALUE"""),"Product")</f>
        <v>Product</v>
      </c>
      <c r="N58" s="2" t="str">
        <f ca="1">IFERROR(__xludf.DUMMYFUNCTION("""COMPUTED_VALUE"""),"ข้อ 182 Pharma Plus เล่มม่วง (เฉลยข้อ ข)")</f>
        <v>ข้อ 182 Pharma Plus เล่มม่วง (เฉลยข้อ ข)</v>
      </c>
      <c r="O58" s="2" t="str">
        <f ca="1">IFERROR(__xludf.DUMMYFUNCTION("""COMPUTED_VALUE"""),"Mock")</f>
        <v>Mock</v>
      </c>
      <c r="P58" s="2" t="str">
        <f ca="1">IFERROR(__xludf.DUMMYFUNCTION("""COMPUTED_VALUE"""),"Pharma Plus เล่มม่วง")</f>
        <v>Pharma Plus เล่มม่วง</v>
      </c>
    </row>
    <row r="59" spans="1:16" ht="13.2" customHeight="1" x14ac:dyDescent="0.25">
      <c r="A59" s="2" t="str">
        <f ca="1">IFERROR(__xludf.DUMMYFUNCTION("""COMPUTED_VALUE"""),"183")</f>
        <v>183</v>
      </c>
      <c r="B59" s="2" t="str">
        <f ca="1">IFERROR(__xludf.DUMMYFUNCTION("""COMPUTED_VALUE"""),"ข้อใดผิดเกี่ยวกับการเตรียมยาเม็ดด้วยวิธีตอกอัดโดยตรง")</f>
        <v>ข้อใดผิดเกี่ยวกับการเตรียมยาเม็ดด้วยวิธีตอกอัดโดยตรง</v>
      </c>
      <c r="C59" s="2"/>
      <c r="D59" s="2" t="str">
        <f ca="1">IFERROR(__xludf.DUMMYFUNCTION("""COMPUTED_VALUE"""),"เป็นวิธีที่สะดวกรวดเร็ว")</f>
        <v>เป็นวิธีที่สะดวกรวดเร็ว</v>
      </c>
      <c r="E59" s="2" t="str">
        <f ca="1">IFERROR(__xludf.DUMMYFUNCTION("""COMPUTED_VALUE"""),"ไม่ใช้น้ำและความร้อนในการตอก")</f>
        <v>ไม่ใช้น้ำและความร้อนในการตอก</v>
      </c>
      <c r="F59" s="2" t="str">
        <f ca="1">IFERROR(__xludf.DUMMYFUNCTION("""COMPUTED_VALUE"""),"ยาเม็ดที่ได้มีการกระจายของสีที่สม่ำเสมอกว่าการทำแกรนูลเปียก")</f>
        <v>ยาเม็ดที่ได้มีการกระจายของสีที่สม่ำเสมอกว่าการทำแกรนูลเปียก</v>
      </c>
      <c r="G59" s="2" t="str">
        <f ca="1">IFERROR(__xludf.DUMMYFUNCTION("""COMPUTED_VALUE"""),"ยาที่ตอกควรมีคุณสมบัติในการไหลและยึดเกาะกันได้ดี")</f>
        <v>ยาที่ตอกควรมีคุณสมบัติในการไหลและยึดเกาะกันได้ดี</v>
      </c>
      <c r="H59" s="2" t="str">
        <f ca="1">IFERROR(__xludf.DUMMYFUNCTION("""COMPUTED_VALUE"""),"สารช่วยควรไหลได้ดีและตอกอัดได้")</f>
        <v>สารช่วยควรไหลได้ดีและตอกอัดได้</v>
      </c>
      <c r="I59" s="2" t="str">
        <f ca="1">IFERROR(__xludf.DUMMYFUNCTION("""COMPUTED_VALUE"""),"3")</f>
        <v>3</v>
      </c>
      <c r="J59" s="2" t="str">
        <f ca="1">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59" s="2"/>
      <c r="L59" s="2" t="str">
        <f ca="1">IFERROR(__xludf.DUMMYFUNCTION("""COMPUTED_VALUE"""),"Tablet Manufacturing")</f>
        <v>Tablet Manufacturing</v>
      </c>
      <c r="M59" s="2" t="str">
        <f ca="1">IFERROR(__xludf.DUMMYFUNCTION("""COMPUTED_VALUE"""),"Product")</f>
        <v>Product</v>
      </c>
      <c r="N59" s="2" t="str">
        <f ca="1">IFERROR(__xludf.DUMMYFUNCTION("""COMPUTED_VALUE"""),"ข้อ 183 Pharma Plus เล่มม่วง (เฉลยข้อ ค)")</f>
        <v>ข้อ 183 Pharma Plus เล่มม่วง (เฉลยข้อ ค)</v>
      </c>
      <c r="O59" s="2" t="str">
        <f ca="1">IFERROR(__xludf.DUMMYFUNCTION("""COMPUTED_VALUE"""),"Mock")</f>
        <v>Mock</v>
      </c>
      <c r="P59" s="2" t="str">
        <f ca="1">IFERROR(__xludf.DUMMYFUNCTION("""COMPUTED_VALUE"""),"Pharma Plus เล่มม่วง")</f>
        <v>Pharma Plus เล่มม่วง</v>
      </c>
    </row>
    <row r="60" spans="1:16" ht="13.2" customHeight="1" x14ac:dyDescent="0.25">
      <c r="A60" s="2" t="str">
        <f ca="1">IFERROR(__xludf.DUMMYFUNCTION("""COMPUTED_VALUE"""),"184")</f>
        <v>184</v>
      </c>
      <c r="B60" s="2" t="str">
        <f ca="1">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v>
      </c>
      <c r="C60" s="2"/>
      <c r="D60" s="2" t="str">
        <f ca="1">IFERROR(__xludf.DUMMYFUNCTION("""COMPUTED_VALUE"""),"Cosolvency")</f>
        <v>Cosolvency</v>
      </c>
      <c r="E60" s="2" t="str">
        <f ca="1">IFERROR(__xludf.DUMMYFUNCTION("""COMPUTED_VALUE"""),"Complexation")</f>
        <v>Complexation</v>
      </c>
      <c r="F60" s="2" t="str">
        <f ca="1">IFERROR(__xludf.DUMMYFUNCTION("""COMPUTED_VALUE"""),"Micelle")</f>
        <v>Micelle</v>
      </c>
      <c r="G60" s="2" t="str">
        <f ca="1">IFERROR(__xludf.DUMMYFUNCTION("""COMPUTED_VALUE"""),"Liposome")</f>
        <v>Liposome</v>
      </c>
      <c r="H60" s="2" t="str">
        <f ca="1">IFERROR(__xludf.DUMMYFUNCTION("""COMPUTED_VALUE"""),"Crystallization")</f>
        <v>Crystallization</v>
      </c>
      <c r="I60" s="2" t="str">
        <f ca="1">IFERROR(__xludf.DUMMYFUNCTION("""COMPUTED_VALUE"""),"1")</f>
        <v>1</v>
      </c>
      <c r="J60" s="2" t="str">
        <f ca="1">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0" s="2"/>
      <c r="L60" s="2" t="str">
        <f ca="1">IFERROR(__xludf.DUMMYFUNCTION("""COMPUTED_VALUE"""),"Tablet Manufacturing")</f>
        <v>Tablet Manufacturing</v>
      </c>
      <c r="M60" s="2" t="str">
        <f ca="1">IFERROR(__xludf.DUMMYFUNCTION("""COMPUTED_VALUE"""),"Product")</f>
        <v>Product</v>
      </c>
      <c r="N60" s="2" t="str">
        <f ca="1">IFERROR(__xludf.DUMMYFUNCTION("""COMPUTED_VALUE"""),"ข้อ 184 Pharma Plus เล่มม่วง (เฉลยข้อ ก)")</f>
        <v>ข้อ 184 Pharma Plus เล่มม่วง (เฉลยข้อ ก)</v>
      </c>
      <c r="O60" s="2" t="str">
        <f ca="1">IFERROR(__xludf.DUMMYFUNCTION("""COMPUTED_VALUE"""),"Mock")</f>
        <v>Mock</v>
      </c>
      <c r="P60" s="2" t="str">
        <f ca="1">IFERROR(__xludf.DUMMYFUNCTION("""COMPUTED_VALUE"""),"Pharma Plus เล่มม่วง")</f>
        <v>Pharma Plus เล่มม่วง</v>
      </c>
    </row>
    <row r="61" spans="1:16" ht="13.2" customHeight="1" x14ac:dyDescent="0.25">
      <c r="A61" s="2" t="str">
        <f ca="1">IFERROR(__xludf.DUMMYFUNCTION("""COMPUTED_VALUE"""),"185")</f>
        <v>185</v>
      </c>
      <c r="B61" s="2" t="str">
        <f ca="1">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ต้องการเตรียมยา Topical Clotrimazole มีส่วนประกอบในตำรับ ได้แก่ Ethyl alcohol, propylene glycol, PEG400, purified water, Lavender oil ใช้วิธีใดในการทำให้เป็นสารละลายใส</v>
      </c>
      <c r="C61" s="2"/>
      <c r="D61" s="2" t="str">
        <f ca="1">IFERROR(__xludf.DUMMYFUNCTION("""COMPUTED_VALUE"""),"Cosolvency")</f>
        <v>Cosolvency</v>
      </c>
      <c r="E61" s="2" t="str">
        <f ca="1">IFERROR(__xludf.DUMMYFUNCTION("""COMPUTED_VALUE"""),"pH adjustment")</f>
        <v>pH adjustment</v>
      </c>
      <c r="F61" s="2" t="str">
        <f ca="1">IFERROR(__xludf.DUMMYFUNCTION("""COMPUTED_VALUE"""),"Complexation")</f>
        <v>Complexation</v>
      </c>
      <c r="G61" s="2" t="str">
        <f ca="1">IFERROR(__xludf.DUMMYFUNCTION("""COMPUTED_VALUE"""),"Prodrug formation")</f>
        <v>Prodrug formation</v>
      </c>
      <c r="H61" s="2" t="str">
        <f ca="1">IFERROR(__xludf.DUMMYFUNCTION("""COMPUTED_VALUE"""),"Micelle solubilization")</f>
        <v>Micelle solubilization</v>
      </c>
      <c r="I61" s="2" t="str">
        <f ca="1">IFERROR(__xludf.DUMMYFUNCTION("""COMPUTED_VALUE"""),"1")</f>
        <v>1</v>
      </c>
      <c r="J61" s="2" t="str">
        <f ca="1">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1" s="2"/>
      <c r="L61" s="2" t="str">
        <f ca="1">IFERROR(__xludf.DUMMYFUNCTION("""COMPUTED_VALUE"""),"Tablet Manufacturing")</f>
        <v>Tablet Manufacturing</v>
      </c>
      <c r="M61" s="2" t="str">
        <f ca="1">IFERROR(__xludf.DUMMYFUNCTION("""COMPUTED_VALUE"""),"Product")</f>
        <v>Product</v>
      </c>
      <c r="N61" s="2" t="str">
        <f ca="1">IFERROR(__xludf.DUMMYFUNCTION("""COMPUTED_VALUE"""),"ข้อ 185 Pharma Plus เล่มม่วง (เฉลยข้อ ก)")</f>
        <v>ข้อ 185 Pharma Plus เล่มม่วง (เฉลยข้อ ก)</v>
      </c>
      <c r="O61" s="2" t="str">
        <f ca="1">IFERROR(__xludf.DUMMYFUNCTION("""COMPUTED_VALUE"""),"Mock")</f>
        <v>Mock</v>
      </c>
      <c r="P61" s="2" t="str">
        <f ca="1">IFERROR(__xludf.DUMMYFUNCTION("""COMPUTED_VALUE"""),"Pharma Plus เล่มม่วง")</f>
        <v>Pharma Plus เล่มม่วง</v>
      </c>
    </row>
    <row r="62" spans="1:16" ht="13.2" customHeight="1" x14ac:dyDescent="0.25">
      <c r="A62" s="2" t="str">
        <f ca="1">IFERROR(__xludf.DUMMYFUNCTION("""COMPUTED_VALUE"""),"186")</f>
        <v>186</v>
      </c>
      <c r="B62" s="2" t="str">
        <f ca="1">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v>
      </c>
      <c r="C62" s="2"/>
      <c r="D62" s="2" t="str">
        <f ca="1">IFERROR(__xludf.DUMMYFUNCTION("""COMPUTED_VALUE"""),"Caking")</f>
        <v>Caking</v>
      </c>
      <c r="E62" s="2" t="str">
        <f ca="1">IFERROR(__xludf.DUMMYFUNCTION("""COMPUTED_VALUE"""),"Cracking")</f>
        <v>Cracking</v>
      </c>
      <c r="F62" s="2" t="str">
        <f ca="1">IFERROR(__xludf.DUMMYFUNCTION("""COMPUTED_VALUE"""),"Bleeding")</f>
        <v>Bleeding</v>
      </c>
      <c r="G62" s="2" t="str">
        <f ca="1">IFERROR(__xludf.DUMMYFUNCTION("""COMPUTED_VALUE"""),"Creaming")</f>
        <v>Creaming</v>
      </c>
      <c r="H62" s="2" t="str">
        <f ca="1">IFERROR(__xludf.DUMMYFUNCTION("""COMPUTED_VALUE"""),"Phase inversion")</f>
        <v>Phase inversion</v>
      </c>
      <c r="I62" s="2" t="str">
        <f ca="1">IFERROR(__xludf.DUMMYFUNCTION("""COMPUTED_VALUE"""),"2")</f>
        <v>2</v>
      </c>
      <c r="J62" s="2" t="str">
        <f ca="1">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2" s="2"/>
      <c r="L62" s="2" t="str">
        <f ca="1">IFERROR(__xludf.DUMMYFUNCTION("""COMPUTED_VALUE"""),"Tablet Manufacturing")</f>
        <v>Tablet Manufacturing</v>
      </c>
      <c r="M62" s="2" t="str">
        <f ca="1">IFERROR(__xludf.DUMMYFUNCTION("""COMPUTED_VALUE"""),"Product")</f>
        <v>Product</v>
      </c>
      <c r="N62" s="2" t="str">
        <f ca="1">IFERROR(__xludf.DUMMYFUNCTION("""COMPUTED_VALUE"""),"ข้อ 186 Pharma Plus เล่มม่วง (เฉลยข้อ ข)")</f>
        <v>ข้อ 186 Pharma Plus เล่มม่วง (เฉลยข้อ ข)</v>
      </c>
      <c r="O62" s="2" t="str">
        <f ca="1">IFERROR(__xludf.DUMMYFUNCTION("""COMPUTED_VALUE"""),"Mock")</f>
        <v>Mock</v>
      </c>
      <c r="P62" s="2" t="str">
        <f ca="1">IFERROR(__xludf.DUMMYFUNCTION("""COMPUTED_VALUE"""),"Pharma Plus เล่มม่วง")</f>
        <v>Pharma Plus เล่มม่วง</v>
      </c>
    </row>
    <row r="63" spans="1:16" ht="13.2" customHeight="1" x14ac:dyDescent="0.25">
      <c r="A63" s="2" t="str">
        <f ca="1">IFERROR(__xludf.DUMMYFUNCTION("""COMPUTED_VALUE"""),"187")</f>
        <v>187</v>
      </c>
      <c r="B63" s="2" t="str">
        <f ca="1">IFERROR(__xludf.DUMMYFUNCTION("""COMPUTED_VALUE"""),"มีสูตรตำรับโลชั่นพริก เกิดแยกตัว เขย่าไม่กลับคืนเกิดจากสาเหตุใดได้")</f>
        <v>มีสูตรตำรับโลชั่นพริก เกิดแยกตัว เขย่าไม่กลับคืนเกิดจากสาเหตุใดได้</v>
      </c>
      <c r="C63" s="2"/>
      <c r="D63" s="2" t="str">
        <f ca="1">IFERROR(__xludf.DUMMYFUNCTION("""COMPUTED_VALUE"""),"เฟสน้ำมันมีมากไป")</f>
        <v>เฟสน้ำมันมีมากไป</v>
      </c>
      <c r="E63" s="2" t="str">
        <f ca="1">IFERROR(__xludf.DUMMYFUNCTION("""COMPUTED_VALUE"""),"สัดส่วนระหว่างวัดภาคน้ำและน้ำมันต่างกันมาก")</f>
        <v>สัดส่วนระหว่างวัดภาคน้ำและน้ำมันต่างกันมาก</v>
      </c>
      <c r="F63" s="2" t="str">
        <f ca="1">IFERROR(__xludf.DUMMYFUNCTION("""COMPUTED_VALUE"""),"ไม่มี emulsifier")</f>
        <v>ไม่มี emulsifier</v>
      </c>
      <c r="G63" s="2" t="str">
        <f ca="1">IFERROR(__xludf.DUMMYFUNCTION("""COMPUTED_VALUE"""),"Emulsifier ไม่เพียงพอ")</f>
        <v>Emulsifier ไม่เพียงพอ</v>
      </c>
      <c r="H63" s="2" t="str">
        <f ca="1">IFERROR(__xludf.DUMMYFUNCTION("""COMPUTED_VALUE"""),"ความหนาแน่นเฟสน้ำกับน้ำมันมีความแตกต่างกันมาก")</f>
        <v>ความหนาแน่นเฟสน้ำกับน้ำมันมีความแตกต่างกันมาก</v>
      </c>
      <c r="I63" s="2" t="str">
        <f ca="1">IFERROR(__xludf.DUMMYFUNCTION("""COMPUTED_VALUE"""),"4")</f>
        <v>4</v>
      </c>
      <c r="J63" s="2" t="str">
        <f ca="1">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3" s="2"/>
      <c r="L63" s="2" t="str">
        <f ca="1">IFERROR(__xludf.DUMMYFUNCTION("""COMPUTED_VALUE"""),"Tablet Manufacturing")</f>
        <v>Tablet Manufacturing</v>
      </c>
      <c r="M63" s="2" t="str">
        <f ca="1">IFERROR(__xludf.DUMMYFUNCTION("""COMPUTED_VALUE"""),"Product")</f>
        <v>Product</v>
      </c>
      <c r="N63" s="2" t="str">
        <f ca="1">IFERROR(__xludf.DUMMYFUNCTION("""COMPUTED_VALUE"""),"ข้อ 187 Pharma Plus เล่มม่วง (เฉลยข้อ ง)")</f>
        <v>ข้อ 187 Pharma Plus เล่มม่วง (เฉลยข้อ ง)</v>
      </c>
      <c r="O63" s="2" t="str">
        <f ca="1">IFERROR(__xludf.DUMMYFUNCTION("""COMPUTED_VALUE"""),"Mock")</f>
        <v>Mock</v>
      </c>
      <c r="P63" s="2" t="str">
        <f ca="1">IFERROR(__xludf.DUMMYFUNCTION("""COMPUTED_VALUE"""),"Pharma Plus เล่มม่วง")</f>
        <v>Pharma Plus เล่มม่วง</v>
      </c>
    </row>
    <row r="64" spans="1:16" ht="13.2" customHeight="1" x14ac:dyDescent="0.25">
      <c r="A64" s="2" t="str">
        <f ca="1">IFERROR(__xludf.DUMMYFUNCTION("""COMPUTED_VALUE"""),"188")</f>
        <v>188</v>
      </c>
      <c r="B64" s="2" t="str">
        <f ca="1">IFERROR(__xludf.DUMMYFUNCTION("""COMPUTED_VALUE"""),"ถ้าจะเตรียมยาเพื่อให้ไม่ผ่านกระบวนการ metabolite ที่ตับ เราควรจะเตรียมในรูปแบบใด")</f>
        <v>ถ้าจะเตรียมยาเพื่อให้ไม่ผ่านกระบวนการ metabolite ที่ตับ เราควรจะเตรียมในรูปแบบใด</v>
      </c>
      <c r="C64" s="2"/>
      <c r="D64" s="2" t="str">
        <f ca="1">IFERROR(__xludf.DUMMYFUNCTION("""COMPUTED_VALUE"""),"Film coated tablets")</f>
        <v>Film coated tablets</v>
      </c>
      <c r="E64" s="2" t="str">
        <f ca="1">IFERROR(__xludf.DUMMYFUNCTION("""COMPUTED_VALUE"""),"Enteric coated tablets")</f>
        <v>Enteric coated tablets</v>
      </c>
      <c r="F64" s="2" t="str">
        <f ca="1">IFERROR(__xludf.DUMMYFUNCTION("""COMPUTED_VALUE"""),"Osmotic pump tablets")</f>
        <v>Osmotic pump tablets</v>
      </c>
      <c r="G64" s="2" t="str">
        <f ca="1">IFERROR(__xludf.DUMMYFUNCTION("""COMPUTED_VALUE"""),"Matrix tablets")</f>
        <v>Matrix tablets</v>
      </c>
      <c r="H64" s="2" t="str">
        <f ca="1">IFERROR(__xludf.DUMMYFUNCTION("""COMPUTED_VALUE"""),"Rectal suppositories")</f>
        <v>Rectal suppositories</v>
      </c>
      <c r="I64" s="2" t="str">
        <f ca="1">IFERROR(__xludf.DUMMYFUNCTION("""COMPUTED_VALUE"""),"4")</f>
        <v>4</v>
      </c>
      <c r="J64" s="2" t="str">
        <f ca="1">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4" s="2"/>
      <c r="L64" s="2" t="str">
        <f ca="1">IFERROR(__xludf.DUMMYFUNCTION("""COMPUTED_VALUE"""),"Tablet Manufacturing")</f>
        <v>Tablet Manufacturing</v>
      </c>
      <c r="M64" s="2" t="str">
        <f ca="1">IFERROR(__xludf.DUMMYFUNCTION("""COMPUTED_VALUE"""),"Product")</f>
        <v>Product</v>
      </c>
      <c r="N64" s="2" t="str">
        <f ca="1">IFERROR(__xludf.DUMMYFUNCTION("""COMPUTED_VALUE"""),"ข้อ 188 Pharma Plus เล่มม่วง (เฉลยข้อ ง)")</f>
        <v>ข้อ 188 Pharma Plus เล่มม่วง (เฉลยข้อ ง)</v>
      </c>
      <c r="O64" s="2" t="str">
        <f ca="1">IFERROR(__xludf.DUMMYFUNCTION("""COMPUTED_VALUE"""),"Mock")</f>
        <v>Mock</v>
      </c>
      <c r="P64" s="2" t="str">
        <f ca="1">IFERROR(__xludf.DUMMYFUNCTION("""COMPUTED_VALUE"""),"Pharma Plus เล่มม่วง")</f>
        <v>Pharma Plus เล่มม่วง</v>
      </c>
    </row>
    <row r="65" spans="1:16" ht="13.2" customHeight="1" x14ac:dyDescent="0.25">
      <c r="A65" s="2" t="str">
        <f ca="1">IFERROR(__xludf.DUMMYFUNCTION("""COMPUTED_VALUE"""),"189")</f>
        <v>189</v>
      </c>
      <c r="B65" s="2" t="str">
        <f ca="1">IFERROR(__xludf.DUMMYFUNCTION("""COMPUTED_VALUE"""),"ระบบควบคุมการปลดปล่อยยาแบบใดสามารถหักแบ่งครึ่งเม็ดได้")</f>
        <v>ระบบควบคุมการปลดปล่อยยาแบบใดสามารถหักแบ่งครึ่งเม็ดได้</v>
      </c>
      <c r="C65" s="2"/>
      <c r="D65" s="2" t="str">
        <f ca="1">IFERROR(__xludf.DUMMYFUNCTION("""COMPUTED_VALUE"""),"Enteric coated")</f>
        <v>Enteric coated</v>
      </c>
      <c r="E65" s="2" t="str">
        <f ca="1">IFERROR(__xludf.DUMMYFUNCTION("""COMPUTED_VALUE"""),"Reservoir")</f>
        <v>Reservoir</v>
      </c>
      <c r="F65" s="2" t="str">
        <f ca="1">IFERROR(__xludf.DUMMYFUNCTION("""COMPUTED_VALUE"""),"Osmotic control")</f>
        <v>Osmotic control</v>
      </c>
      <c r="G65" s="2" t="str">
        <f ca="1">IFERROR(__xludf.DUMMYFUNCTION("""COMPUTED_VALUE"""),"Matrix control")</f>
        <v>Matrix control</v>
      </c>
      <c r="H65" s="2" t="str">
        <f ca="1">IFERROR(__xludf.DUMMYFUNCTION("""COMPUTED_VALUE"""),"Film diffuse control")</f>
        <v>Film diffuse control</v>
      </c>
      <c r="I65" s="2" t="str">
        <f ca="1">IFERROR(__xludf.DUMMYFUNCTION("""COMPUTED_VALUE"""),"5")</f>
        <v>5</v>
      </c>
      <c r="J65" s="2" t="str">
        <f ca="1">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5" s="2"/>
      <c r="L65" s="2" t="str">
        <f ca="1">IFERROR(__xludf.DUMMYFUNCTION("""COMPUTED_VALUE"""),"Tablet Manufacturing")</f>
        <v>Tablet Manufacturing</v>
      </c>
      <c r="M65" s="2" t="str">
        <f ca="1">IFERROR(__xludf.DUMMYFUNCTION("""COMPUTED_VALUE"""),"Product")</f>
        <v>Product</v>
      </c>
      <c r="N65" s="2" t="str">
        <f ca="1">IFERROR(__xludf.DUMMYFUNCTION("""COMPUTED_VALUE"""),"ข้อ 189 Pharma Plus เล่มม่วง (เฉลยข้อ จ)")</f>
        <v>ข้อ 189 Pharma Plus เล่มม่วง (เฉลยข้อ จ)</v>
      </c>
      <c r="O65" s="2" t="str">
        <f ca="1">IFERROR(__xludf.DUMMYFUNCTION("""COMPUTED_VALUE"""),"Mock")</f>
        <v>Mock</v>
      </c>
      <c r="P65" s="2" t="str">
        <f ca="1">IFERROR(__xludf.DUMMYFUNCTION("""COMPUTED_VALUE"""),"Pharma Plus เล่มม่วง")</f>
        <v>Pharma Plus เล่มม่วง</v>
      </c>
    </row>
    <row r="66" spans="1:16" ht="13.2" customHeight="1" x14ac:dyDescent="0.25">
      <c r="A66" s="2" t="str">
        <f ca="1">IFERROR(__xludf.DUMMYFUNCTION("""COMPUTED_VALUE"""),"190")</f>
        <v>190</v>
      </c>
      <c r="B66" s="2" t="str">
        <f ca="1">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v>
      </c>
      <c r="C66" s="2"/>
      <c r="D66" s="2" t="str">
        <f ca="1">IFERROR(__xludf.DUMMYFUNCTION("""COMPUTED_VALUE"""),"Titanium dioxide เป็น binder")</f>
        <v>Titanium dioxide เป็น binder</v>
      </c>
      <c r="E66" s="2" t="str">
        <f ca="1">IFERROR(__xludf.DUMMYFUNCTION("""COMPUTED_VALUE"""),"Microcrystalline cellulose เป็น filler")</f>
        <v>Microcrystalline cellulose เป็น filler</v>
      </c>
      <c r="F66" s="2" t="str">
        <f ca="1">IFERROR(__xludf.DUMMYFUNCTION("""COMPUTED_VALUE"""),"Sodium starch glycolate เป็น superdisintegrant")</f>
        <v>Sodium starch glycolate เป็น superdisintegrant</v>
      </c>
      <c r="G66" s="2" t="str">
        <f ca="1">IFERROR(__xludf.DUMMYFUNCTION("""COMPUTED_VALUE"""),"Magnesium stearate เป็น glidant")</f>
        <v>Magnesium stearate เป็น glidant</v>
      </c>
      <c r="H66" s="2" t="str">
        <f ca="1">IFERROR(__xludf.DUMMYFUNCTION("""COMPUTED_VALUE"""),"Corn starch เป็น disintegrant")</f>
        <v>Corn starch เป็น disintegrant</v>
      </c>
      <c r="I66" s="2" t="str">
        <f ca="1">IFERROR(__xludf.DUMMYFUNCTION("""COMPUTED_VALUE"""),"5")</f>
        <v>5</v>
      </c>
      <c r="J66" s="2" t="str">
        <f ca="1">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6" s="2"/>
      <c r="L66" s="2" t="str">
        <f ca="1">IFERROR(__xludf.DUMMYFUNCTION("""COMPUTED_VALUE"""),"Powders &amp; Granules")</f>
        <v>Powders &amp; Granules</v>
      </c>
      <c r="M66" s="2" t="str">
        <f ca="1">IFERROR(__xludf.DUMMYFUNCTION("""COMPUTED_VALUE"""),"Product")</f>
        <v>Product</v>
      </c>
      <c r="N66" s="2" t="str">
        <f ca="1">IFERROR(__xludf.DUMMYFUNCTION("""COMPUTED_VALUE"""),"ข้อ 190 Pharma Plus เล่มม่วง (เฉลยข้อ จ)")</f>
        <v>ข้อ 190 Pharma Plus เล่มม่วง (เฉลยข้อ จ)</v>
      </c>
      <c r="O66" s="2" t="str">
        <f ca="1">IFERROR(__xludf.DUMMYFUNCTION("""COMPUTED_VALUE"""),"Mock")</f>
        <v>Mock</v>
      </c>
      <c r="P66" s="2" t="str">
        <f ca="1">IFERROR(__xludf.DUMMYFUNCTION("""COMPUTED_VALUE"""),"Pharma Plus เล่มม่วง")</f>
        <v>Pharma Plus เล่มม่วง</v>
      </c>
    </row>
    <row r="67" spans="1:16" ht="13.2" customHeight="1" x14ac:dyDescent="0.25">
      <c r="A67" s="2" t="str">
        <f ca="1">IFERROR(__xludf.DUMMYFUNCTION("""COMPUTED_VALUE"""),"191")</f>
        <v>191</v>
      </c>
      <c r="B67" s="2" t="str">
        <f ca="1">IFERROR(__xludf.DUMMYFUNCTION("""COMPUTED_VALUE"""),"ยาทาสิว Benzoyl peroxide gel 5% มีส่วนประกอบดังนี้ Carbomer 940, Hydroxypropylmethylcellulose, Tween 20, Ethanol, Glycerin, Triethanolamine, Triclosan, Purified water
ข้อใดต่อไปนี้ถูกต้อง")</f>
        <v>ยาทาสิว Benzoyl peroxide gel 5% มีส่วนประกอบดังนี้ Carbomer 940, Hydroxypropylmethylcellulose, Tween 20, Ethanol, Glycerin, Triethanolamine, Triclosan, Purified water
ข้อใดต่อไปนี้ถูกต้อง</v>
      </c>
      <c r="C67" s="2"/>
      <c r="D67" s="2" t="str">
        <f ca="1">IFERROR(__xludf.DUMMYFUNCTION("""COMPUTED_VALUE"""),"มีสารก่อเจล 2 ชนิด")</f>
        <v>มีสารก่อเจล 2 ชนิด</v>
      </c>
      <c r="E67" s="2" t="str">
        <f ca="1">IFERROR(__xludf.DUMMYFUNCTION("""COMPUTED_VALUE"""),"Carbopol ละลายในน้ำเดือด แล้วเติมน้ำเย็นละลายทันที")</f>
        <v>Carbopol ละลายในน้ำเดือด แล้วเติมน้ำเย็นละลายทันที</v>
      </c>
      <c r="F67" s="2" t="str">
        <f ca="1">IFERROR(__xludf.DUMMYFUNCTION("""COMPUTED_VALUE"""),"Triclosan ช่วยให้เจลแข็งตัวจากการปรับ pH")</f>
        <v>Triclosan ช่วยให้เจลแข็งตัวจากการปรับ pH</v>
      </c>
      <c r="G67" s="2" t="str">
        <f ca="1">IFERROR(__xludf.DUMMYFUNCTION("""COMPUTED_VALUE"""),"Triethanolamine เป็น preservative ของตำรับ")</f>
        <v>Triethanolamine เป็น preservative ของตำรับ</v>
      </c>
      <c r="H67" s="2" t="str">
        <f ca="1">IFERROR(__xludf.DUMMYFUNCTION("""COMPUTED_VALUE"""),"Carbopol ละลายได้ดีใน alcohol")</f>
        <v>Carbopol ละลายได้ดีใน alcohol</v>
      </c>
      <c r="I67" s="2" t="str">
        <f ca="1">IFERROR(__xludf.DUMMYFUNCTION("""COMPUTED_VALUE"""),"4")</f>
        <v>4</v>
      </c>
      <c r="J67" s="2" t="str">
        <f ca="1">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7" s="2"/>
      <c r="L67" s="2" t="str">
        <f ca="1">IFERROR(__xludf.DUMMYFUNCTION("""COMPUTED_VALUE"""),"Tablet Manufacturing")</f>
        <v>Tablet Manufacturing</v>
      </c>
      <c r="M67" s="2" t="str">
        <f ca="1">IFERROR(__xludf.DUMMYFUNCTION("""COMPUTED_VALUE"""),"Product")</f>
        <v>Product</v>
      </c>
      <c r="N67" s="2" t="str">
        <f ca="1">IFERROR(__xludf.DUMMYFUNCTION("""COMPUTED_VALUE"""),"ข้อ 191 Pharma Plus เล่มม่วง (เฉลยข้อ ง)")</f>
        <v>ข้อ 191 Pharma Plus เล่มม่วง (เฉลยข้อ ง)</v>
      </c>
      <c r="O67" s="2" t="str">
        <f ca="1">IFERROR(__xludf.DUMMYFUNCTION("""COMPUTED_VALUE"""),"Mock")</f>
        <v>Mock</v>
      </c>
      <c r="P67" s="2" t="str">
        <f ca="1">IFERROR(__xludf.DUMMYFUNCTION("""COMPUTED_VALUE"""),"Pharma Plus เล่มม่วง")</f>
        <v>Pharma Plus เล่มม่วง</v>
      </c>
    </row>
    <row r="68" spans="1:16" ht="13.2" customHeight="1" x14ac:dyDescent="0.25">
      <c r="A68" s="2" t="str">
        <f ca="1">IFERROR(__xludf.DUMMYFUNCTION("""COMPUTED_VALUE"""),"192")</f>
        <v>192</v>
      </c>
      <c r="B68" s="2" t="str">
        <f ca="1">IFERROR(__xludf.DUMMYFUNCTION("""COMPUTED_VALUE"""),"โจทย์ให้สูตรตำรับของ tetracycline capsule มา ได้แก่ lactose, magnesium stearate ... (โจทย์ไม่ครบ) ตำรับ tetracycline capsule
ข้อใดถูกต้อง")</f>
        <v>โจทย์ให้สูตรตำรับของ tetracycline capsule มา ได้แก่ lactose, magnesium stearate ... (โจทย์ไม่ครบ) ตำรับ tetracycline capsule
ข้อใดถูกต้อง</v>
      </c>
      <c r="C68" s="2"/>
      <c r="D68" s="2" t="str">
        <f ca="1">IFERROR(__xludf.DUMMYFUNCTION("""COMPUTED_VALUE"""),"เหมาะจะเตรียมเป็น soft gelatin capsule")</f>
        <v>เหมาะจะเตรียมเป็น soft gelatin capsule</v>
      </c>
      <c r="E68" s="2" t="str">
        <f ca="1">IFERROR(__xludf.DUMMYFUNCTION("""COMPUTED_VALUE"""),"Capsule เบอร์ 000 เล็กสุด เบอร์ 5 ใหญ่สุด")</f>
        <v>Capsule เบอร์ 000 เล็กสุด เบอร์ 5 ใหญ่สุด</v>
      </c>
      <c r="F68" s="2" t="str">
        <f ca="1">IFERROR(__xludf.DUMMYFUNCTION("""COMPUTED_VALUE"""),"Lactose เพิ่มความหวาน")</f>
        <v>Lactose เพิ่มความหวาน</v>
      </c>
      <c r="G68" s="2" t="str">
        <f ca="1">IFERROR(__xludf.DUMMYFUNCTION("""COMPUTED_VALUE"""),"Magnesium stearate เพิ่มการแตกตัว")</f>
        <v>Magnesium stearate เพิ่มการแตกตัว</v>
      </c>
      <c r="H68" s="2" t="str">
        <f ca="1">IFERROR(__xludf.DUMMYFUNCTION("""COMPUTED_VALUE"""),"Silicon dioxide เพิ่มการไหล")</f>
        <v>Silicon dioxide เพิ่มการไหล</v>
      </c>
      <c r="I68" s="2" t="str">
        <f ca="1">IFERROR(__xludf.DUMMYFUNCTION("""COMPUTED_VALUE"""),"1")</f>
        <v>1</v>
      </c>
      <c r="J68" s="2" t="str">
        <f ca="1">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8" s="2"/>
      <c r="L68" s="2" t="str">
        <f ca="1">IFERROR(__xludf.DUMMYFUNCTION("""COMPUTED_VALUE"""),"Hard &amp; Soft Gelatin Capsules")</f>
        <v>Hard &amp; Soft Gelatin Capsules</v>
      </c>
      <c r="M68" s="2" t="str">
        <f ca="1">IFERROR(__xludf.DUMMYFUNCTION("""COMPUTED_VALUE"""),"Product")</f>
        <v>Product</v>
      </c>
      <c r="N68" s="2" t="str">
        <f ca="1">IFERROR(__xludf.DUMMYFUNCTION("""COMPUTED_VALUE"""),"ข้อ 192 Pharma Plus เล่มม่วง (เฉลยข้อ ก)")</f>
        <v>ข้อ 192 Pharma Plus เล่มม่วง (เฉลยข้อ ก)</v>
      </c>
      <c r="O68" s="2" t="str">
        <f ca="1">IFERROR(__xludf.DUMMYFUNCTION("""COMPUTED_VALUE"""),"Mock")</f>
        <v>Mock</v>
      </c>
      <c r="P68" s="2" t="str">
        <f ca="1">IFERROR(__xludf.DUMMYFUNCTION("""COMPUTED_VALUE"""),"Pharma Plus เล่มม่วง")</f>
        <v>Pharma Plus เล่มม่วง</v>
      </c>
    </row>
    <row r="69" spans="1:16" ht="13.2" customHeight="1" x14ac:dyDescent="0.25">
      <c r="A69" s="2" t="str">
        <f ca="1">IFERROR(__xludf.DUMMYFUNCTION("""COMPUTED_VALUE"""),"193")</f>
        <v>193</v>
      </c>
      <c r="B69" s="2" t="str">
        <f ca="1">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v>
      </c>
      <c r="C69" s="2"/>
      <c r="D69" s="2" t="str">
        <f ca="1">IFERROR(__xludf.DUMMYFUNCTION("""COMPUTED_VALUE"""),"Hydroxypropyl methyl cellulose")</f>
        <v>Hydroxypropyl methyl cellulose</v>
      </c>
      <c r="E69" s="2" t="str">
        <f ca="1">IFERROR(__xludf.DUMMYFUNCTION("""COMPUTED_VALUE"""),"Magnesium stearate")</f>
        <v>Magnesium stearate</v>
      </c>
      <c r="F69" s="2" t="str">
        <f ca="1">IFERROR(__xludf.DUMMYFUNCTION("""COMPUTED_VALUE"""),"Microcrystalline cellulose")</f>
        <v>Microcrystalline cellulose</v>
      </c>
      <c r="G69" s="2" t="str">
        <f ca="1">IFERROR(__xludf.DUMMYFUNCTION("""COMPUTED_VALUE"""),"Colloidal silica")</f>
        <v>Colloidal silica</v>
      </c>
      <c r="H69" s="2" t="str">
        <f ca="1">IFERROR(__xludf.DUMMYFUNCTION("""COMPUTED_VALUE"""),"Pre-gelatinized starch")</f>
        <v>Pre-gelatinized starch</v>
      </c>
      <c r="I69" s="2" t="str">
        <f ca="1">IFERROR(__xludf.DUMMYFUNCTION("""COMPUTED_VALUE"""),"5")</f>
        <v>5</v>
      </c>
      <c r="J69" s="2" t="str">
        <f ca="1">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69" s="2"/>
      <c r="L69" s="2" t="str">
        <f ca="1">IFERROR(__xludf.DUMMYFUNCTION("""COMPUTED_VALUE"""),"Tablet Manufacturing")</f>
        <v>Tablet Manufacturing</v>
      </c>
      <c r="M69" s="2" t="str">
        <f ca="1">IFERROR(__xludf.DUMMYFUNCTION("""COMPUTED_VALUE"""),"Product")</f>
        <v>Product</v>
      </c>
      <c r="N69" s="2" t="str">
        <f ca="1">IFERROR(__xludf.DUMMYFUNCTION("""COMPUTED_VALUE"""),"ข้อ 193 Pharma Plus เล่มม่วง (เฉลยข้อ จ)")</f>
        <v>ข้อ 193 Pharma Plus เล่มม่วง (เฉลยข้อ จ)</v>
      </c>
      <c r="O69" s="2" t="str">
        <f ca="1">IFERROR(__xludf.DUMMYFUNCTION("""COMPUTED_VALUE"""),"Mock")</f>
        <v>Mock</v>
      </c>
      <c r="P69" s="2" t="str">
        <f ca="1">IFERROR(__xludf.DUMMYFUNCTION("""COMPUTED_VALUE"""),"Pharma Plus เล่มม่วง")</f>
        <v>Pharma Plus เล่มม่วง</v>
      </c>
    </row>
    <row r="70" spans="1:16" ht="13.2" customHeight="1" x14ac:dyDescent="0.25">
      <c r="A70" s="2" t="str">
        <f ca="1">IFERROR(__xludf.DUMMYFUNCTION("""COMPUTED_VALUE"""),"194")</f>
        <v>194</v>
      </c>
      <c r="B70" s="2" t="str">
        <f ca="1">IFERROR(__xludf.DUMMYFUNCTION("""COMPUTED_VALUE"""),"ในการพิสูจน์ Bioequivalence ระหว่างยา 2 ตัว จะต้องคำนึงถึง parameter ใดบ้าง
ข้อใดต่อไปนี้ถูกต้อง")</f>
        <v>ในการพิสูจน์ Bioequivalence ระหว่างยา 2 ตัว จะต้องคำนึงถึง parameter ใดบ้าง
ข้อใดต่อไปนี้ถูกต้อง</v>
      </c>
      <c r="C70" s="2"/>
      <c r="D70" s="2" t="str">
        <f ca="1">IFERROR(__xludf.DUMMYFUNCTION("""COMPUTED_VALUE"""),"AUC0-inf และ Tmax")</f>
        <v>AUC0-inf และ Tmax</v>
      </c>
      <c r="E70" s="2" t="str">
        <f ca="1">IFERROR(__xludf.DUMMYFUNCTION("""COMPUTED_VALUE"""),"AUC0-inf และ Cmax")</f>
        <v>AUC0-inf และ Cmax</v>
      </c>
      <c r="F70" s="2" t="str">
        <f ca="1">IFERROR(__xludf.DUMMYFUNCTION("""COMPUTED_VALUE"""),"AUC0-inf และ Elimination half life")</f>
        <v>AUC0-inf และ Elimination half life</v>
      </c>
      <c r="G70" s="2" t="str">
        <f ca="1">IFERROR(__xludf.DUMMYFUNCTION("""COMPUTED_VALUE"""),"Cmax และ Elimination half life")</f>
        <v>Cmax และ Elimination half life</v>
      </c>
      <c r="H70" s="2" t="str">
        <f ca="1">IFERROR(__xludf.DUMMYFUNCTION("""COMPUTED_VALUE"""),"Tmax และ Elimination half life")</f>
        <v>Tmax และ Elimination half life</v>
      </c>
      <c r="I70" s="2" t="str">
        <f ca="1">IFERROR(__xludf.DUMMYFUNCTION("""COMPUTED_VALUE"""),"5")</f>
        <v>5</v>
      </c>
      <c r="J70" s="2" t="str">
        <f ca="1">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0" s="2"/>
      <c r="L70" s="2" t="str">
        <f ca="1">IFERROR(__xludf.DUMMYFUNCTION("""COMPUTED_VALUE"""),"Tablet Manufacturing")</f>
        <v>Tablet Manufacturing</v>
      </c>
      <c r="M70" s="2" t="str">
        <f ca="1">IFERROR(__xludf.DUMMYFUNCTION("""COMPUTED_VALUE"""),"Product")</f>
        <v>Product</v>
      </c>
      <c r="N70" s="2" t="str">
        <f ca="1">IFERROR(__xludf.DUMMYFUNCTION("""COMPUTED_VALUE"""),"ข้อ 194 Pharma Plus เล่มม่วง (เฉลยข้อ จ)")</f>
        <v>ข้อ 194 Pharma Plus เล่มม่วง (เฉลยข้อ จ)</v>
      </c>
      <c r="O70" s="2" t="str">
        <f ca="1">IFERROR(__xludf.DUMMYFUNCTION("""COMPUTED_VALUE"""),"Mock")</f>
        <v>Mock</v>
      </c>
      <c r="P70" s="2" t="str">
        <f ca="1">IFERROR(__xludf.DUMMYFUNCTION("""COMPUTED_VALUE"""),"Pharma Plus เล่มม่วง")</f>
        <v>Pharma Plus เล่มม่วง</v>
      </c>
    </row>
    <row r="71" spans="1:16" ht="13.2" customHeight="1" x14ac:dyDescent="0.25">
      <c r="A71" s="2" t="str">
        <f ca="1">IFERROR(__xludf.DUMMYFUNCTION("""COMPUTED_VALUE"""),"1")</f>
        <v>1</v>
      </c>
      <c r="B71" s="2" t="str">
        <f ca="1">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v>
      </c>
      <c r="C71" s="2"/>
      <c r="D71" s="2" t="str">
        <f ca="1">IFERROR(__xludf.DUMMYFUNCTION("""COMPUTED_VALUE"""),"Methyl cyanide")</f>
        <v>Methyl cyanide</v>
      </c>
      <c r="E71" s="2" t="str">
        <f ca="1">IFERROR(__xludf.DUMMYFUNCTION("""COMPUTED_VALUE"""),"Nitro")</f>
        <v>Nitro</v>
      </c>
      <c r="F71" s="2" t="str">
        <f ca="1">IFERROR(__xludf.DUMMYFUNCTION("""COMPUTED_VALUE"""),"Thio")</f>
        <v>Thio</v>
      </c>
      <c r="G71" s="2" t="str">
        <f ca="1">IFERROR(__xludf.DUMMYFUNCTION("""COMPUTED_VALUE"""),"Furan")</f>
        <v>Furan</v>
      </c>
      <c r="H71" s="2" t="str">
        <f ca="1">IFERROR(__xludf.DUMMYFUNCTION("""COMPUTED_VALUE"""),"Amine")</f>
        <v>Amine</v>
      </c>
      <c r="I71" s="2" t="str">
        <f ca="1">IFERROR(__xludf.DUMMYFUNCTION("""COMPUTED_VALUE"""),"4")</f>
        <v>4</v>
      </c>
      <c r="J71" s="2" t="str">
        <f ca="1">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1" s="2"/>
      <c r="L71" s="2" t="str">
        <f ca="1">IFERROR(__xludf.DUMMYFUNCTION("""COMPUTED_VALUE"""),"SAR &amp; Drug Design")</f>
        <v>SAR &amp; Drug Design</v>
      </c>
      <c r="M71" s="2" t="str">
        <f ca="1">IFERROR(__xludf.DUMMYFUNCTION("""COMPUTED_VALUE"""),"Product")</f>
        <v>Product</v>
      </c>
      <c r="N71" s="2" t="str">
        <f ca="1">IFERROR(__xludf.DUMMYFUNCTION("""COMPUTED_VALUE"""),"ข้อ 1 Pharma Plus เล่มม่วง (เฉลยข้อ ง)")</f>
        <v>ข้อ 1 Pharma Plus เล่มม่วง (เฉลยข้อ ง)</v>
      </c>
      <c r="O71" s="2" t="str">
        <f ca="1">IFERROR(__xludf.DUMMYFUNCTION("""COMPUTED_VALUE"""),"Mock")</f>
        <v>Mock</v>
      </c>
      <c r="P71" s="2" t="str">
        <f ca="1">IFERROR(__xludf.DUMMYFUNCTION("""COMPUTED_VALUE"""),"Pharma Plus เล่มม่วง")</f>
        <v>Pharma Plus เล่มม่วง</v>
      </c>
    </row>
    <row r="72" spans="1:16" ht="13.2" customHeight="1" x14ac:dyDescent="0.25">
      <c r="A72" s="2" t="str">
        <f ca="1">IFERROR(__xludf.DUMMYFUNCTION("""COMPUTED_VALUE"""),"2")</f>
        <v>2</v>
      </c>
      <c r="B72" s="2" t="str">
        <f ca="1">IFERROR(__xludf.DUMMYFUNCTION("""COMPUTED_VALUE"""),"จากสูตรโครงสร้างของ praziquantel ตำแหน่งนี้เรียกว่า และมีคุณสมบัติอย่างไร")</f>
        <v>จากสูตรโครงสร้างของ praziquantel ตำแหน่งนี้เรียกว่า และมีคุณสมบัติอย่างไร</v>
      </c>
      <c r="C72" s="2"/>
      <c r="D72" s="2" t="str">
        <f ca="1">IFERROR(__xludf.DUMMYFUNCTION("""COMPUTED_VALUE"""),"Quinoline, base")</f>
        <v>Quinoline, base</v>
      </c>
      <c r="E72" s="2" t="str">
        <f ca="1">IFERROR(__xludf.DUMMYFUNCTION("""COMPUTED_VALUE"""),"Isoquinoline, base")</f>
        <v>Isoquinoline, base</v>
      </c>
      <c r="F72" s="2" t="str">
        <f ca="1">IFERROR(__xludf.DUMMYFUNCTION("""COMPUTED_VALUE"""),"Guanine, acid")</f>
        <v>Guanine, acid</v>
      </c>
      <c r="G72" s="2" t="str">
        <f ca="1">IFERROR(__xludf.DUMMYFUNCTION("""COMPUTED_VALUE"""),"Pyramidine, acid")</f>
        <v>Pyramidine, acid</v>
      </c>
      <c r="H72" s="2" t="str">
        <f ca="1">IFERROR(__xludf.DUMMYFUNCTION("""COMPUTED_VALUE"""),"Nirobenzene, acid")</f>
        <v>Nirobenzene, acid</v>
      </c>
      <c r="I72" s="2" t="str">
        <f ca="1">IFERROR(__xludf.DUMMYFUNCTION("""COMPUTED_VALUE"""),"2")</f>
        <v>2</v>
      </c>
      <c r="J72" s="2" t="str">
        <f ca="1">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2" s="2"/>
      <c r="L72" s="2" t="str">
        <f ca="1">IFERROR(__xludf.DUMMYFUNCTION("""COMPUTED_VALUE"""),"SAR &amp; Drug Design")</f>
        <v>SAR &amp; Drug Design</v>
      </c>
      <c r="M72" s="2" t="str">
        <f ca="1">IFERROR(__xludf.DUMMYFUNCTION("""COMPUTED_VALUE"""),"Product")</f>
        <v>Product</v>
      </c>
      <c r="N72" s="2" t="str">
        <f ca="1">IFERROR(__xludf.DUMMYFUNCTION("""COMPUTED_VALUE"""),"ข้อ 2 Pharma Plus เล่มม่วง (เฉลยข้อ ข)")</f>
        <v>ข้อ 2 Pharma Plus เล่มม่วง (เฉลยข้อ ข)</v>
      </c>
      <c r="O72" s="2" t="str">
        <f ca="1">IFERROR(__xludf.DUMMYFUNCTION("""COMPUTED_VALUE"""),"Mock")</f>
        <v>Mock</v>
      </c>
      <c r="P72" s="2" t="str">
        <f ca="1">IFERROR(__xludf.DUMMYFUNCTION("""COMPUTED_VALUE"""),"Pharma Plus เล่มม่วง")</f>
        <v>Pharma Plus เล่มม่วง</v>
      </c>
    </row>
    <row r="73" spans="1:16" ht="13.2" customHeight="1" x14ac:dyDescent="0.25">
      <c r="A73" s="2" t="str">
        <f ca="1">IFERROR(__xludf.DUMMYFUNCTION("""COMPUTED_VALUE"""),"3")</f>
        <v>3</v>
      </c>
      <c r="B73" s="2" t="str">
        <f ca="1">IFERROR(__xludf.DUMMYFUNCTION("""COMPUTED_VALUE"""),"จากสูตรโครงสร้างมีหมู่ carboxyl group กี่หมู่")</f>
        <v>จากสูตรโครงสร้างมีหมู่ carboxyl group กี่หมู่</v>
      </c>
      <c r="C73" s="2"/>
      <c r="D73" s="2" t="str">
        <f ca="1">IFERROR(__xludf.DUMMYFUNCTION("""COMPUTED_VALUE"""),"Bioisosteric Replacement (Carboxylic acid → Tetrazole)")</f>
        <v>Bioisosteric Replacement (Carboxylic acid → Tetrazole)</v>
      </c>
      <c r="E73" s="2" t="str">
        <f ca="1">IFERROR(__xludf.DUMMYFUNCTION("""COMPUTED_VALUE"""),"Prodrug Design via Esterification for Oral Bioavailability")</f>
        <v>Prodrug Design via Esterification for Oral Bioavailability</v>
      </c>
      <c r="F73" s="2" t="str">
        <f ca="1">IFERROR(__xludf.DUMMYFUNCTION("""COMPUTED_VALUE"""),"Cytochrome P450 CYP3A4 Phase I Oxidation")</f>
        <v>Cytochrome P450 CYP3A4 Phase I Oxidation</v>
      </c>
      <c r="G73" s="2" t="str">
        <f ca="1">IFERROR(__xludf.DUMMYFUNCTION("""COMPUTED_VALUE"""),"Phase II Glucuronidation Conjugation by UGT")</f>
        <v>Phase II Glucuronidation Conjugation by UGT</v>
      </c>
      <c r="H73" s="2" t="str">
        <f ca="1">IFERROR(__xludf.DUMMYFUNCTION("""COMPUTED_VALUE"""),"Log P Lipophilicity Partition Coefficient optimization")</f>
        <v>Log P Lipophilicity Partition Coefficient optimization</v>
      </c>
      <c r="I73" s="2" t="str">
        <f ca="1">IFERROR(__xludf.DUMMYFUNCTION("""COMPUTED_VALUE"""),"2")</f>
        <v>2</v>
      </c>
      <c r="J73" s="2" t="str">
        <f ca="1">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3" s="2"/>
      <c r="L73" s="2" t="str">
        <f ca="1">IFERROR(__xludf.DUMMYFUNCTION("""COMPUTED_VALUE"""),"SAR &amp; Drug Design")</f>
        <v>SAR &amp; Drug Design</v>
      </c>
      <c r="M73" s="2" t="str">
        <f ca="1">IFERROR(__xludf.DUMMYFUNCTION("""COMPUTED_VALUE"""),"Product")</f>
        <v>Product</v>
      </c>
      <c r="N73" s="2" t="str">
        <f ca="1">IFERROR(__xludf.DUMMYFUNCTION("""COMPUTED_VALUE"""),"ข้อ 3 Pharma Plus เล่มม่วง (เฉลยข้อ ข)")</f>
        <v>ข้อ 3 Pharma Plus เล่มม่วง (เฉลยข้อ ข)</v>
      </c>
      <c r="O73" s="2" t="str">
        <f ca="1">IFERROR(__xludf.DUMMYFUNCTION("""COMPUTED_VALUE"""),"Mock")</f>
        <v>Mock</v>
      </c>
      <c r="P73" s="2" t="str">
        <f ca="1">IFERROR(__xludf.DUMMYFUNCTION("""COMPUTED_VALUE"""),"Pharma Plus เล่มม่วง")</f>
        <v>Pharma Plus เล่มม่วง</v>
      </c>
    </row>
    <row r="74" spans="1:16" ht="13.2" customHeight="1" x14ac:dyDescent="0.25">
      <c r="A74" s="2" t="str">
        <f ca="1">IFERROR(__xludf.DUMMYFUNCTION("""COMPUTED_VALUE"""),"4")</f>
        <v>4</v>
      </c>
      <c r="B74" s="2" t="str">
        <f ca="1">IFERROR(__xludf.DUMMYFUNCTION("""COMPUTED_VALUE"""),"จากโครงสร้าง Simvastatin และ Pravastatin ข้อใดถูกต้อง")</f>
        <v>จากโครงสร้าง Simvastatin และ Pravastatin ข้อใดถูกต้อง</v>
      </c>
      <c r="C74" s="2"/>
      <c r="D74" s="2" t="str">
        <f ca="1">IFERROR(__xludf.DUMMYFUNCTION("""COMPUTED_VALUE"""),"Cholestyramine ลดการดูดซึมของยา simvastatin เพราะโครงสร้าง Simvastatin มี lactone ring")</f>
        <v>Cholestyramine ลดการดูดซึมของยา simvastatin เพราะโครงสร้าง Simvastatin มี lactone ring</v>
      </c>
      <c r="E74" s="2" t="str">
        <f ca="1">IFERROR(__xludf.DUMMYFUNCTION("""COMPUTED_VALUE"""),"Cholestyramine ลดการดูดซึมของยา pravastatin เพราะโครงสร้าง Pravastatin มี carboxylic acid")</f>
        <v>Cholestyramine ลดการดูดซึมของยา pravastatin เพราะโครงสร้าง Pravastatin มี carboxylic acid</v>
      </c>
      <c r="F74" s="2" t="str">
        <f ca="1">IFERROR(__xludf.DUMMYFUNCTION("""COMPUTED_VALUE"""),"Simvastatin ลดการดูดซึมของยา cholestyramine")</f>
        <v>Simvastatin ลดการดูดซึมของยา cholestyramine</v>
      </c>
      <c r="G74" s="2" t="str">
        <f ca="1">IFERROR(__xludf.DUMMYFUNCTION("""COMPUTED_VALUE"""),"Cholestyramine ไม่มีผลต่อการดูดซึมของยา simvastatin และ pravastatin")</f>
        <v>Cholestyramine ไม่มีผลต่อการดูดซึมของยา simvastatin และ pravastatin</v>
      </c>
      <c r="H74" s="2" t="str">
        <f ca="1">IFERROR(__xludf.DUMMYFUNCTION("""COMPUTED_VALUE"""),"Cholestyramine เพิ่มการดูดซึมของยา simvastatin และ pravastatin")</f>
        <v>Cholestyramine เพิ่มการดูดซึมของยา simvastatin และ pravastatin</v>
      </c>
      <c r="I74" s="2" t="str">
        <f ca="1">IFERROR(__xludf.DUMMYFUNCTION("""COMPUTED_VALUE"""),"2")</f>
        <v>2</v>
      </c>
      <c r="J74" s="2" t="str">
        <f ca="1">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4" s="2"/>
      <c r="L74" s="2" t="str">
        <f ca="1">IFERROR(__xludf.DUMMYFUNCTION("""COMPUTED_VALUE"""),"SAR &amp; Drug Design")</f>
        <v>SAR &amp; Drug Design</v>
      </c>
      <c r="M74" s="2" t="str">
        <f ca="1">IFERROR(__xludf.DUMMYFUNCTION("""COMPUTED_VALUE"""),"Product")</f>
        <v>Product</v>
      </c>
      <c r="N74" s="2" t="str">
        <f ca="1">IFERROR(__xludf.DUMMYFUNCTION("""COMPUTED_VALUE"""),"ข้อ 4 Pharma Plus เล่มม่วง (เฉลยข้อ ข)")</f>
        <v>ข้อ 4 Pharma Plus เล่มม่วง (เฉลยข้อ ข)</v>
      </c>
      <c r="O74" s="2" t="str">
        <f ca="1">IFERROR(__xludf.DUMMYFUNCTION("""COMPUTED_VALUE"""),"Mock")</f>
        <v>Mock</v>
      </c>
      <c r="P74" s="2" t="str">
        <f ca="1">IFERROR(__xludf.DUMMYFUNCTION("""COMPUTED_VALUE"""),"Pharma Plus เล่มม่วง")</f>
        <v>Pharma Plus เล่มม่วง</v>
      </c>
    </row>
    <row r="75" spans="1:16" ht="13.2" customHeight="1" x14ac:dyDescent="0.25">
      <c r="A75" s="2" t="str">
        <f ca="1">IFERROR(__xludf.DUMMYFUNCTION("""COMPUTED_VALUE"""),"5")</f>
        <v>5</v>
      </c>
      <c r="B75" s="2" t="str">
        <f ca="1">IFERROR(__xludf.DUMMYFUNCTION("""COMPUTED_VALUE"""),"โครงสร้างที่แสดงข้อ 4 สัมพันธ์กับการออกฤทธิ์ของยาอย่างไร")</f>
        <v>โครงสร้างที่แสดงข้อ 4 สัมพันธ์กับการออกฤทธิ์ของยาอย่างไร</v>
      </c>
      <c r="C75" s="2"/>
      <c r="D75" s="2" t="str">
        <f ca="1">IFERROR(__xludf.DUMMYFUNCTION("""COMPUTED_VALUE"""),"Pravastatin เป็น prodrug")</f>
        <v>Pravastatin เป็น prodrug</v>
      </c>
      <c r="E75" s="2" t="str">
        <f ca="1">IFERROR(__xludf.DUMMYFUNCTION("""COMPUTED_VALUE"""),"Pravastatin และ simvastatin เป็น prodrug")</f>
        <v>Pravastatin และ simvastatin เป็น prodrug</v>
      </c>
      <c r="F75" s="2" t="str">
        <f ca="1">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Pravastatin มีโครงสร้างที่ออกฤทธิ์ในร่างกายสองรูปแบบ คือ โครงสร้างที่เชื่อมเป็นวง lactone ring และโครงสร้างที่เป็น carboxylic acid</v>
      </c>
      <c r="G75" s="2" t="str">
        <f ca="1">IFERROR(__xludf.DUMMYFUNCTION("""COMPUTED_VALUE"""),"Simvastatin มีโครงสร้างที่ออกฤทธิ์ คือ โครงสร้างที่เป็น lactone ring เปิด")</f>
        <v>Simvastatin มีโครงสร้างที่ออกฤทธิ์ คือ โครงสร้างที่เป็น lactone ring เปิด</v>
      </c>
      <c r="H75" s="2" t="str">
        <f ca="1">IFERROR(__xludf.DUMMYFUNCTION("""COMPUTED_VALUE"""),"Pravastatin และ simvastatin ไม่เป็น prodrug")</f>
        <v>Pravastatin และ simvastatin ไม่เป็น prodrug</v>
      </c>
      <c r="I75" s="2" t="str">
        <f ca="1">IFERROR(__xludf.DUMMYFUNCTION("""COMPUTED_VALUE"""),"4")</f>
        <v>4</v>
      </c>
      <c r="J75" s="2" t="str">
        <f ca="1">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5" s="2"/>
      <c r="L75" s="2" t="str">
        <f ca="1">IFERROR(__xludf.DUMMYFUNCTION("""COMPUTED_VALUE"""),"SAR &amp; Drug Design")</f>
        <v>SAR &amp; Drug Design</v>
      </c>
      <c r="M75" s="2" t="str">
        <f ca="1">IFERROR(__xludf.DUMMYFUNCTION("""COMPUTED_VALUE"""),"Product")</f>
        <v>Product</v>
      </c>
      <c r="N75" s="2" t="str">
        <f ca="1">IFERROR(__xludf.DUMMYFUNCTION("""COMPUTED_VALUE"""),"ข้อ 5 Pharma Plus เล่มม่วง (เฉลยข้อ ง)")</f>
        <v>ข้อ 5 Pharma Plus เล่มม่วง (เฉลยข้อ ง)</v>
      </c>
      <c r="O75" s="2" t="str">
        <f ca="1">IFERROR(__xludf.DUMMYFUNCTION("""COMPUTED_VALUE"""),"Mock")</f>
        <v>Mock</v>
      </c>
      <c r="P75" s="2" t="str">
        <f ca="1">IFERROR(__xludf.DUMMYFUNCTION("""COMPUTED_VALUE"""),"Pharma Plus เล่มม่วง")</f>
        <v>Pharma Plus เล่มม่วง</v>
      </c>
    </row>
    <row r="76" spans="1:16" ht="13.2" customHeight="1" x14ac:dyDescent="0.25">
      <c r="A76" s="2" t="str">
        <f ca="1">IFERROR(__xludf.DUMMYFUNCTION("""COMPUTED_VALUE"""),"6")</f>
        <v>6</v>
      </c>
      <c r="B76" s="2" t="str">
        <f ca="1">IFERROR(__xludf.DUMMYFUNCTION("""COMPUTED_VALUE"""),"สูตรโครงสร้างของยาต่อไปนี้ข้อใดคือ Dexamethasone")</f>
        <v>สูตรโครงสร้างของยาต่อไปนี้ข้อใดคือ Dexamethasone</v>
      </c>
      <c r="C76" s="2"/>
      <c r="D76" s="2" t="str">
        <f ca="1">IFERROR(__xludf.DUMMYFUNCTION("""COMPUTED_VALUE"""),"โครงสร้างเตียรอยด์มีหมู่ -OH และ -F")</f>
        <v>โครงสร้างเตียรอยด์มีหมู่ -OH และ -F</v>
      </c>
      <c r="E76" s="2" t="str">
        <f ca="1">IFERROR(__xludf.DUMMYFUNCTION("""COMPUTED_VALUE"""),"โครงสร้าง ACE inhibitor")</f>
        <v>โครงสร้าง ACE inhibitor</v>
      </c>
      <c r="F76" s="2" t="str">
        <f ca="1">IFERROR(__xludf.DUMMYFUNCTION("""COMPUTED_VALUE"""),"โครงสร้าง Chloramphenicol")</f>
        <v>โครงสร้าง Chloramphenicol</v>
      </c>
      <c r="G76" s="2" t="str">
        <f ca="1">IFERROR(__xludf.DUMMYFUNCTION("""COMPUTED_VALUE"""),"โครงสร้าง Sulfonamide")</f>
        <v>โครงสร้าง Sulfonamide</v>
      </c>
      <c r="H76" s="2" t="str">
        <f ca="1">IFERROR(__xludf.DUMMYFUNCTION("""COMPUTED_VALUE"""),"โครงสร้าง Beta-lactam หรือโครงสร้างอื่น")</f>
        <v>โครงสร้าง Beta-lactam หรือโครงสร้างอื่น</v>
      </c>
      <c r="I76" s="2" t="str">
        <f ca="1">IFERROR(__xludf.DUMMYFUNCTION("""COMPUTED_VALUE"""),"1")</f>
        <v>1</v>
      </c>
      <c r="J76" s="2" t="str">
        <f ca="1">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6" s="2"/>
      <c r="L76" s="2" t="str">
        <f ca="1">IFERROR(__xludf.DUMMYFUNCTION("""COMPUTED_VALUE"""),"SAR &amp; Drug Design")</f>
        <v>SAR &amp; Drug Design</v>
      </c>
      <c r="M76" s="2" t="str">
        <f ca="1">IFERROR(__xludf.DUMMYFUNCTION("""COMPUTED_VALUE"""),"Product")</f>
        <v>Product</v>
      </c>
      <c r="N76" s="2" t="str">
        <f ca="1">IFERROR(__xludf.DUMMYFUNCTION("""COMPUTED_VALUE"""),"ข้อ 6 Pharma Plus เล่มม่วง (เฉลยข้อ ก)")</f>
        <v>ข้อ 6 Pharma Plus เล่มม่วง (เฉลยข้อ ก)</v>
      </c>
      <c r="O76" s="2" t="str">
        <f ca="1">IFERROR(__xludf.DUMMYFUNCTION("""COMPUTED_VALUE"""),"Mock")</f>
        <v>Mock</v>
      </c>
      <c r="P76" s="2" t="str">
        <f ca="1">IFERROR(__xludf.DUMMYFUNCTION("""COMPUTED_VALUE"""),"Pharma Plus เล่มม่วง")</f>
        <v>Pharma Plus เล่มม่วง</v>
      </c>
    </row>
    <row r="77" spans="1:16" ht="13.2" customHeight="1" x14ac:dyDescent="0.25">
      <c r="A77" s="2" t="str">
        <f ca="1">IFERROR(__xludf.DUMMYFUNCTION("""COMPUTED_VALUE"""),"11")</f>
        <v>11</v>
      </c>
      <c r="B77" s="2" t="str">
        <f ca="1">IFERROR(__xludf.DUMMYFUNCTION("""COMPUTED_VALUE"""),"จากโครงสร้างของ vitamin A ข้อใดต่อไปนี้ถูกต้องเกี่ยวกับ SAR")</f>
        <v>จากโครงสร้างของ vitamin A ข้อใดต่อไปนี้ถูกต้องเกี่ยวกับ SAR</v>
      </c>
      <c r="C77" s="2"/>
      <c r="D77" s="2" t="str">
        <f ca="1">IFERROR(__xludf.DUMMYFUNCTION("""COMPUTED_VALUE"""),"Conjugated double bond เพิ่มขึ้น ทำให้ activity ของ vitamin A ลดลง")</f>
        <v>Conjugated double bond เพิ่มขึ้น ทำให้ activity ของ vitamin A ลดลง</v>
      </c>
      <c r="E77" s="2" t="str">
        <f ca="1">IFERROR(__xludf.DUMMYFUNCTION("""COMPUTED_VALUE"""),"Conjugated double bond ลดลง ทำให้ activity ของ vitamin A เพิ่มขึ้น")</f>
        <v>Conjugated double bond ลดลง ทำให้ activity ของ vitamin A เพิ่มขึ้น</v>
      </c>
      <c r="F77" s="2" t="str">
        <f ca="1">IFERROR(__xludf.DUMMYFUNCTION("""COMPUTED_VALUE"""),"ถ้า b-ionone ring saturate จะทำให้ vitamin A หมดฤทธิ์")</f>
        <v>ถ้า b-ionone ring saturate จะทำให้ vitamin A หมดฤทธิ์</v>
      </c>
      <c r="G77" s="2" t="str">
        <f ca="1">IFERROR(__xludf.DUMMYFUNCTION("""COMPUTED_VALUE"""),"ถ้า b-ionone ring saturate จะทำให้ vitamin A ฤทธิ์เพิ่มขึ้น")</f>
        <v>ถ้า b-ionone ring saturate จะทำให้ vitamin A ฤทธิ์เพิ่มขึ้น</v>
      </c>
      <c r="H77" s="2" t="str">
        <f ca="1">IFERROR(__xludf.DUMMYFUNCTION("""COMPUTED_VALUE"""),"ถ้าเปลี่ยนจาก -OH เป็น ether จะทำให้ vitamin A ฤทธิ์เพิ่มขึ้น")</f>
        <v>ถ้าเปลี่ยนจาก -OH เป็น ether จะทำให้ vitamin A ฤทธิ์เพิ่มขึ้น</v>
      </c>
      <c r="I77" s="2" t="str">
        <f ca="1">IFERROR(__xludf.DUMMYFUNCTION("""COMPUTED_VALUE"""),"3")</f>
        <v>3</v>
      </c>
      <c r="J77" s="2" t="str">
        <f ca="1">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7" s="2"/>
      <c r="L77" s="2" t="str">
        <f ca="1">IFERROR(__xludf.DUMMYFUNCTION("""COMPUTED_VALUE"""),"SAR &amp; Drug Design")</f>
        <v>SAR &amp; Drug Design</v>
      </c>
      <c r="M77" s="2" t="str">
        <f ca="1">IFERROR(__xludf.DUMMYFUNCTION("""COMPUTED_VALUE"""),"Product")</f>
        <v>Product</v>
      </c>
      <c r="N77" s="2" t="str">
        <f ca="1">IFERROR(__xludf.DUMMYFUNCTION("""COMPUTED_VALUE"""),"ข้อ 11 Pharma Plus เล่มม่วง (เฉลยข้อ ค)")</f>
        <v>ข้อ 11 Pharma Plus เล่มม่วง (เฉลยข้อ ค)</v>
      </c>
      <c r="O77" s="2" t="str">
        <f ca="1">IFERROR(__xludf.DUMMYFUNCTION("""COMPUTED_VALUE"""),"Mock")</f>
        <v>Mock</v>
      </c>
      <c r="P77" s="2" t="str">
        <f ca="1">IFERROR(__xludf.DUMMYFUNCTION("""COMPUTED_VALUE"""),"Pharma Plus เล่มม่วง")</f>
        <v>Pharma Plus เล่มม่วง</v>
      </c>
    </row>
    <row r="78" spans="1:16" ht="13.2" customHeight="1" x14ac:dyDescent="0.25">
      <c r="A78" s="2" t="str">
        <f ca="1">IFERROR(__xludf.DUMMYFUNCTION("""COMPUTED_VALUE"""),"12")</f>
        <v>12</v>
      </c>
      <c r="B78" s="2" t="str">
        <f ca="1">IFERROR(__xludf.DUMMYFUNCTION("""COMPUTED_VALUE"""),"จากข้อ 11 ถ้าเปลี่ยนจากหมู่ OH เป็น COOH จะเป็นสารใดต่อไปนี้")</f>
        <v>จากข้อ 11 ถ้าเปลี่ยนจากหมู่ OH เป็น COOH จะเป็นสารใดต่อไปนี้</v>
      </c>
      <c r="C78" s="2"/>
      <c r="D78" s="2" t="str">
        <f ca="1">IFERROR(__xludf.DUMMYFUNCTION("""COMPUTED_VALUE"""),"Tretinoin")</f>
        <v>Tretinoin</v>
      </c>
      <c r="E78" s="2" t="str">
        <f ca="1">IFERROR(__xludf.DUMMYFUNCTION("""COMPUTED_VALUE"""),"Isotretinoin")</f>
        <v>Isotretinoin</v>
      </c>
      <c r="F78" s="2" t="str">
        <f ca="1">IFERROR(__xludf.DUMMYFUNCTION("""COMPUTED_VALUE"""),"Adapalene")</f>
        <v>Adapalene</v>
      </c>
      <c r="G78" s="2" t="str">
        <f ca="1">IFERROR(__xludf.DUMMYFUNCTION("""COMPUTED_VALUE"""),"Carotenoid")</f>
        <v>Carotenoid</v>
      </c>
      <c r="H78" s="2" t="str">
        <f ca="1">IFERROR(__xludf.DUMMYFUNCTION("""COMPUTED_VALUE"""),"Retinal")</f>
        <v>Retinal</v>
      </c>
      <c r="I78" s="2" t="str">
        <f ca="1">IFERROR(__xludf.DUMMYFUNCTION("""COMPUTED_VALUE"""),"1")</f>
        <v>1</v>
      </c>
      <c r="J78" s="2" t="str">
        <f ca="1">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8" s="2"/>
      <c r="L78" s="2" t="str">
        <f ca="1">IFERROR(__xludf.DUMMYFUNCTION("""COMPUTED_VALUE"""),"SAR &amp; Drug Design")</f>
        <v>SAR &amp; Drug Design</v>
      </c>
      <c r="M78" s="2" t="str">
        <f ca="1">IFERROR(__xludf.DUMMYFUNCTION("""COMPUTED_VALUE"""),"Product")</f>
        <v>Product</v>
      </c>
      <c r="N78" s="2" t="str">
        <f ca="1">IFERROR(__xludf.DUMMYFUNCTION("""COMPUTED_VALUE"""),"ข้อ 12 Pharma Plus เล่มม่วง (เฉลยข้อ ก)")</f>
        <v>ข้อ 12 Pharma Plus เล่มม่วง (เฉลยข้อ ก)</v>
      </c>
      <c r="O78" s="2" t="str">
        <f ca="1">IFERROR(__xludf.DUMMYFUNCTION("""COMPUTED_VALUE"""),"Mock")</f>
        <v>Mock</v>
      </c>
      <c r="P78" s="2" t="str">
        <f ca="1">IFERROR(__xludf.DUMMYFUNCTION("""COMPUTED_VALUE"""),"Pharma Plus เล่มม่วง")</f>
        <v>Pharma Plus เล่มม่วง</v>
      </c>
    </row>
    <row r="79" spans="1:16" ht="13.2" customHeight="1" x14ac:dyDescent="0.25">
      <c r="A79" s="2" t="str">
        <f ca="1">IFERROR(__xludf.DUMMYFUNCTION("""COMPUTED_VALUE"""),"13")</f>
        <v>13</v>
      </c>
      <c r="B79" s="2" t="str">
        <f ca="1">IFERROR(__xludf.DUMMYFUNCTION("""COMPUTED_VALUE"""),"จากโครงสร้างของยา Gemcitabine เป็นอนุพันธ์ของอะไร")</f>
        <v>จากโครงสร้างของยา Gemcitabine เป็นอนุพันธ์ของอะไร</v>
      </c>
      <c r="C79" s="2"/>
      <c r="D79" s="2" t="str">
        <f ca="1">IFERROR(__xludf.DUMMYFUNCTION("""COMPUTED_VALUE"""),"Acyclonucleoside analog")</f>
        <v>Acyclonucleoside analog</v>
      </c>
      <c r="E79" s="2" t="str">
        <f ca="1">IFERROR(__xludf.DUMMYFUNCTION("""COMPUTED_VALUE"""),"Pyrimidine nucleoside analog")</f>
        <v>Pyrimidine nucleoside analog</v>
      </c>
      <c r="F79" s="2" t="str">
        <f ca="1">IFERROR(__xludf.DUMMYFUNCTION("""COMPUTED_VALUE"""),"Pyrimidine nucleotide analog")</f>
        <v>Pyrimidine nucleotide analog</v>
      </c>
      <c r="G79" s="2" t="str">
        <f ca="1">IFERROR(__xludf.DUMMYFUNCTION("""COMPUTED_VALUE"""),"Purine nucleotide analog")</f>
        <v>Purine nucleotide analog</v>
      </c>
      <c r="H79" s="2" t="str">
        <f ca="1">IFERROR(__xludf.DUMMYFUNCTION("""COMPUTED_VALUE"""),"Purine nucleoside analog")</f>
        <v>Purine nucleoside analog</v>
      </c>
      <c r="I79" s="2" t="str">
        <f ca="1">IFERROR(__xludf.DUMMYFUNCTION("""COMPUTED_VALUE"""),"2")</f>
        <v>2</v>
      </c>
      <c r="J79" s="2" t="str">
        <f ca="1">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79" s="2"/>
      <c r="L79" s="2" t="str">
        <f ca="1">IFERROR(__xludf.DUMMYFUNCTION("""COMPUTED_VALUE"""),"SAR &amp; Drug Design")</f>
        <v>SAR &amp; Drug Design</v>
      </c>
      <c r="M79" s="2" t="str">
        <f ca="1">IFERROR(__xludf.DUMMYFUNCTION("""COMPUTED_VALUE"""),"Product")</f>
        <v>Product</v>
      </c>
      <c r="N79" s="2" t="str">
        <f ca="1">IFERROR(__xludf.DUMMYFUNCTION("""COMPUTED_VALUE"""),"ข้อ 13 Pharma Plus เล่มม่วง (เฉลยข้อ ข)")</f>
        <v>ข้อ 13 Pharma Plus เล่มม่วง (เฉลยข้อ ข)</v>
      </c>
      <c r="O79" s="2" t="str">
        <f ca="1">IFERROR(__xludf.DUMMYFUNCTION("""COMPUTED_VALUE"""),"Mock")</f>
        <v>Mock</v>
      </c>
      <c r="P79" s="2" t="str">
        <f ca="1">IFERROR(__xludf.DUMMYFUNCTION("""COMPUTED_VALUE"""),"Pharma Plus เล่มม่วง")</f>
        <v>Pharma Plus เล่มม่วง</v>
      </c>
    </row>
    <row r="80" spans="1:16" ht="13.2" customHeight="1" x14ac:dyDescent="0.25">
      <c r="A80" s="2" t="str">
        <f ca="1">IFERROR(__xludf.DUMMYFUNCTION("""COMPUTED_VALUE"""),"14")</f>
        <v>14</v>
      </c>
      <c r="B80" s="2" t="str">
        <f ca="1">IFERROR(__xludf.DUMMYFUNCTION("""COMPUTED_VALUE"""),"จากโครงสร้างของยา A และยา B ข้อใดถูกต้องเกี่ยวกับยา B")</f>
        <v>จากโครงสร้างของยา A และยา B ข้อใดถูกต้องเกี่ยวกับยา B</v>
      </c>
      <c r="C80" s="2"/>
      <c r="D80" s="2" t="str">
        <f ca="1">IFERROR(__xludf.DUMMYFUNCTION("""COMPUTED_VALUE"""),"ฤทธิ์ต้านแบคทีเรียลดลงอย่างมีนัยสำคัญ")</f>
        <v>ฤทธิ์ต้านแบคทีเรียลดลงอย่างมีนัยสำคัญ</v>
      </c>
      <c r="E80" s="2" t="str">
        <f ca="1">IFERROR(__xludf.DUMMYFUNCTION("""COMPUTED_VALUE"""),"ความสามารถในการละลายน้ำไม่เปลี่ยนแปลง")</f>
        <v>ความสามารถในการละลายน้ำไม่เปลี่ยนแปลง</v>
      </c>
      <c r="F80" s="2" t="str">
        <f ca="1">IFERROR(__xludf.DUMMYFUNCTION("""COMPUTED_VALUE"""),"ความถี่ในการรับประทานลดลง")</f>
        <v>ความถี่ในการรับประทานลดลง</v>
      </c>
      <c r="G80" s="2" t="str">
        <f ca="1">IFERROR(__xludf.DUMMYFUNCTION("""COMPUTED_VALUE"""),"ไม่คงตัวต่อกรดเช่นเดียวกับยา A")</f>
        <v>ไม่คงตัวต่อกรดเช่นเดียวกับยา A</v>
      </c>
      <c r="H80" s="2" t="str">
        <f ca="1">IFERROR(__xludf.DUMMYFUNCTION("""COMPUTED_VALUE"""),"ไม่คงตัวต่อด่างเช่นเดียวกันกับยา A")</f>
        <v>ไม่คงตัวต่อด่างเช่นเดียวกันกับยา A</v>
      </c>
      <c r="I80" s="2" t="str">
        <f ca="1">IFERROR(__xludf.DUMMYFUNCTION("""COMPUTED_VALUE"""),"3")</f>
        <v>3</v>
      </c>
      <c r="J80" s="2" t="str">
        <f ca="1">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0" s="2"/>
      <c r="L80" s="2" t="str">
        <f ca="1">IFERROR(__xludf.DUMMYFUNCTION("""COMPUTED_VALUE"""),"SAR &amp; Drug Design")</f>
        <v>SAR &amp; Drug Design</v>
      </c>
      <c r="M80" s="2" t="str">
        <f ca="1">IFERROR(__xludf.DUMMYFUNCTION("""COMPUTED_VALUE"""),"Product")</f>
        <v>Product</v>
      </c>
      <c r="N80" s="2" t="str">
        <f ca="1">IFERROR(__xludf.DUMMYFUNCTION("""COMPUTED_VALUE"""),"ข้อ 14 Pharma Plus เล่มม่วง (เฉลยข้อ ค)")</f>
        <v>ข้อ 14 Pharma Plus เล่มม่วง (เฉลยข้อ ค)</v>
      </c>
      <c r="O80" s="2" t="str">
        <f ca="1">IFERROR(__xludf.DUMMYFUNCTION("""COMPUTED_VALUE"""),"Mock")</f>
        <v>Mock</v>
      </c>
      <c r="P80" s="2" t="str">
        <f ca="1">IFERROR(__xludf.DUMMYFUNCTION("""COMPUTED_VALUE"""),"Pharma Plus เล่มม่วง")</f>
        <v>Pharma Plus เล่มม่วง</v>
      </c>
    </row>
    <row r="81" spans="1:16" ht="13.2" customHeight="1" x14ac:dyDescent="0.25">
      <c r="A81" s="2" t="str">
        <f ca="1">IFERROR(__xludf.DUMMYFUNCTION("""COMPUTED_VALUE"""),"15")</f>
        <v>15</v>
      </c>
      <c r="B81" s="2" t="str">
        <f ca="1">IFERROR(__xludf.DUMMYFUNCTION("""COMPUTED_VALUE"""),"จากสูตรโครงสร้างของยา doxorubicin โครงสร้างส่วนใดที่ออกฤทธิ์เป็น intercalating ของ DNA")</f>
        <v>จากสูตรโครงสร้างของยา doxorubicin โครงสร้างส่วนใดที่ออกฤทธิ์เป็น intercalating ของ DNA</v>
      </c>
      <c r="C81" s="2"/>
      <c r="D81" s="2" t="str">
        <f ca="1">IFERROR(__xludf.DUMMYFUNCTION("""COMPUTED_VALUE"""),"Anthracycline ring")</f>
        <v>Anthracycline ring</v>
      </c>
      <c r="E81" s="2" t="str">
        <f ca="1">IFERROR(__xludf.DUMMYFUNCTION("""COMPUTED_VALUE"""),"- NH2 group")</f>
        <v>- NH2 group</v>
      </c>
      <c r="F81" s="2" t="str">
        <f ca="1">IFERROR(__xludf.DUMMYFUNCTION("""COMPUTED_VALUE"""),"Methoxy")</f>
        <v>Methoxy</v>
      </c>
      <c r="G81" s="2" t="str">
        <f ca="1">IFERROR(__xludf.DUMMYFUNCTION("""COMPUTED_VALUE"""),"Hydroxyl")</f>
        <v>Hydroxyl</v>
      </c>
      <c r="H81" s="2" t="str">
        <f ca="1">IFERROR(__xludf.DUMMYFUNCTION("""COMPUTED_VALUE"""),"น้ำตาล glycoside")</f>
        <v>น้ำตาล glycoside</v>
      </c>
      <c r="I81" s="2" t="str">
        <f ca="1">IFERROR(__xludf.DUMMYFUNCTION("""COMPUTED_VALUE"""),"1")</f>
        <v>1</v>
      </c>
      <c r="J81" s="2" t="str">
        <f ca="1">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1" s="2"/>
      <c r="L81" s="2" t="str">
        <f ca="1">IFERROR(__xludf.DUMMYFUNCTION("""COMPUTED_VALUE"""),"SAR &amp; Drug Design")</f>
        <v>SAR &amp; Drug Design</v>
      </c>
      <c r="M81" s="2" t="str">
        <f ca="1">IFERROR(__xludf.DUMMYFUNCTION("""COMPUTED_VALUE"""),"Product")</f>
        <v>Product</v>
      </c>
      <c r="N81" s="2" t="str">
        <f ca="1">IFERROR(__xludf.DUMMYFUNCTION("""COMPUTED_VALUE"""),"ข้อ 15 Pharma Plus เล่มม่วง (เฉลยข้อ ก)")</f>
        <v>ข้อ 15 Pharma Plus เล่มม่วง (เฉลยข้อ ก)</v>
      </c>
      <c r="O81" s="2" t="str">
        <f ca="1">IFERROR(__xludf.DUMMYFUNCTION("""COMPUTED_VALUE"""),"Mock")</f>
        <v>Mock</v>
      </c>
      <c r="P81" s="2" t="str">
        <f ca="1">IFERROR(__xludf.DUMMYFUNCTION("""COMPUTED_VALUE"""),"Pharma Plus เล่มม่วง")</f>
        <v>Pharma Plus เล่มม่วง</v>
      </c>
    </row>
    <row r="82" spans="1:16" ht="13.2" customHeight="1" x14ac:dyDescent="0.25">
      <c r="A82" s="2" t="str">
        <f ca="1">IFERROR(__xludf.DUMMYFUNCTION("""COMPUTED_VALUE"""),"16")</f>
        <v>16</v>
      </c>
      <c r="B82" s="2" t="str">
        <f ca="1">IFERROR(__xludf.DUMMYFUNCTION("""COMPUTED_VALUE"""),"โครงสร้างนี้ เรียกว่า อะไร")</f>
        <v>โครงสร้างนี้ เรียกว่า อะไร</v>
      </c>
      <c r="C82" s="2"/>
      <c r="D82" s="2" t="str">
        <f ca="1">IFERROR(__xludf.DUMMYFUNCTION("""COMPUTED_VALUE"""),"Nucleotide ของ Purine")</f>
        <v>Nucleotide ของ Purine</v>
      </c>
      <c r="E82" s="2" t="str">
        <f ca="1">IFERROR(__xludf.DUMMYFUNCTION("""COMPUTED_VALUE"""),"Nucleotide ของ Pyridine")</f>
        <v>Nucleotide ของ Pyridine</v>
      </c>
      <c r="F82" s="2" t="str">
        <f ca="1">IFERROR(__xludf.DUMMYFUNCTION("""COMPUTED_VALUE"""),"Nucleoside ของ Purine")</f>
        <v>Nucleoside ของ Purine</v>
      </c>
      <c r="G82" s="2" t="str">
        <f ca="1">IFERROR(__xludf.DUMMYFUNCTION("""COMPUTED_VALUE"""),"Nucleoside ของ Pyridine")</f>
        <v>Nucleoside ของ Pyridine</v>
      </c>
      <c r="H82" s="2" t="str">
        <f ca="1">IFERROR(__xludf.DUMMYFUNCTION("""COMPUTED_VALUE"""),"ไม่มีข้อใดถูกต้องการ")</f>
        <v>ไม่มีข้อใดถูกต้องการ</v>
      </c>
      <c r="I82" s="2" t="str">
        <f ca="1">IFERROR(__xludf.DUMMYFUNCTION("""COMPUTED_VALUE"""),"5")</f>
        <v>5</v>
      </c>
      <c r="J82" s="2" t="str">
        <f ca="1">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2" s="2"/>
      <c r="L82" s="2" t="str">
        <f ca="1">IFERROR(__xludf.DUMMYFUNCTION("""COMPUTED_VALUE"""),"SAR &amp; Drug Design")</f>
        <v>SAR &amp; Drug Design</v>
      </c>
      <c r="M82" s="2" t="str">
        <f ca="1">IFERROR(__xludf.DUMMYFUNCTION("""COMPUTED_VALUE"""),"Product")</f>
        <v>Product</v>
      </c>
      <c r="N82" s="2" t="str">
        <f ca="1">IFERROR(__xludf.DUMMYFUNCTION("""COMPUTED_VALUE"""),"ข้อ 16 Pharma Plus เล่มม่วง (เฉลยข้อ จ)")</f>
        <v>ข้อ 16 Pharma Plus เล่มม่วง (เฉลยข้อ จ)</v>
      </c>
      <c r="O82" s="2" t="str">
        <f ca="1">IFERROR(__xludf.DUMMYFUNCTION("""COMPUTED_VALUE"""),"Mock")</f>
        <v>Mock</v>
      </c>
      <c r="P82" s="2" t="str">
        <f ca="1">IFERROR(__xludf.DUMMYFUNCTION("""COMPUTED_VALUE"""),"Pharma Plus เล่มม่วง")</f>
        <v>Pharma Plus เล่มม่วง</v>
      </c>
    </row>
    <row r="83" spans="1:16" ht="13.2" customHeight="1" x14ac:dyDescent="0.25">
      <c r="A83" s="2" t="str">
        <f ca="1">IFERROR(__xludf.DUMMYFUNCTION("""COMPUTED_VALUE"""),"17")</f>
        <v>17</v>
      </c>
      <c r="B83" s="2" t="str">
        <f ca="1">IFERROR(__xludf.DUMMYFUNCTION("""COMPUTED_VALUE"""),"ข้อใดกล่าวถูกต้องเกี่ยวกับการพัฒนาโครงสร้างดังแสดงด้านล่าง")</f>
        <v>ข้อใดกล่าวถูกต้องเกี่ยวกับการพัฒนาโครงสร้างดังแสดงด้านล่าง</v>
      </c>
      <c r="C83" s="2"/>
      <c r="D83" s="2" t="str">
        <f ca="1">IFERROR(__xludf.DUMMYFUNCTION("""COMPUTED_VALUE"""),"เปลี่ยนตัวออกฤทธิ์เป็น Ligand เพื่อช่วยลดอาการไม่พึงประสงค์จากยา")</f>
        <v>เปลี่ยนตัวออกฤทธิ์เป็น Ligand เพื่อช่วยลดอาการไม่พึงประสงค์จากยา</v>
      </c>
      <c r="E83" s="2" t="str">
        <f ca="1">IFERROR(__xludf.DUMMYFUNCTION("""COMPUTED_VALUE"""),"ทำให้โครงสร้างใหญ่ขึ้นเพื่อลดการโดนทำลายหมู่สำคัญในการออกฤทธิ์")</f>
        <v>ทำให้โครงสร้างใหญ่ขึ้นเพื่อลดการโดนทำลายหมู่สำคัญในการออกฤทธิ์</v>
      </c>
      <c r="F83" s="2" t="str">
        <f ca="1">IFERROR(__xludf.DUMMYFUNCTION("""COMPUTED_VALUE"""),"เพิ่ม Lipophilicity ของยาเพื่อเพิ่มการเข้าสู่เซลล์เป้าหมาย")</f>
        <v>เพิ่ม Lipophilicity ของยาเพื่อเพิ่มการเข้าสู่เซลล์เป้าหมาย</v>
      </c>
      <c r="G83" s="2" t="str">
        <f ca="1">IFERROR(__xludf.DUMMYFUNCTION("""COMPUTED_VALUE"""),"ข้อ ก ข ถูก")</f>
        <v>ข้อ ก ข ถูก</v>
      </c>
      <c r="H83" s="2" t="str">
        <f ca="1">IFERROR(__xludf.DUMMYFUNCTION("""COMPUTED_VALUE"""),"ข้อ ก ข ค ถูก")</f>
        <v>ข้อ ก ข ค ถูก</v>
      </c>
      <c r="I83" s="2" t="str">
        <f ca="1">IFERROR(__xludf.DUMMYFUNCTION("""COMPUTED_VALUE"""),"4")</f>
        <v>4</v>
      </c>
      <c r="J83" s="2" t="str">
        <f ca="1">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3" s="2"/>
      <c r="L83" s="2" t="str">
        <f ca="1">IFERROR(__xludf.DUMMYFUNCTION("""COMPUTED_VALUE"""),"SAR &amp; Drug Design")</f>
        <v>SAR &amp; Drug Design</v>
      </c>
      <c r="M83" s="2" t="str">
        <f ca="1">IFERROR(__xludf.DUMMYFUNCTION("""COMPUTED_VALUE"""),"Product")</f>
        <v>Product</v>
      </c>
      <c r="N83" s="2" t="str">
        <f ca="1">IFERROR(__xludf.DUMMYFUNCTION("""COMPUTED_VALUE"""),"ข้อ 17 Pharma Plus เล่มม่วง (เฉลยข้อ ง)")</f>
        <v>ข้อ 17 Pharma Plus เล่มม่วง (เฉลยข้อ ง)</v>
      </c>
      <c r="O83" s="2" t="str">
        <f ca="1">IFERROR(__xludf.DUMMYFUNCTION("""COMPUTED_VALUE"""),"Mock")</f>
        <v>Mock</v>
      </c>
      <c r="P83" s="2" t="str">
        <f ca="1">IFERROR(__xludf.DUMMYFUNCTION("""COMPUTED_VALUE"""),"Pharma Plus เล่มม่วง")</f>
        <v>Pharma Plus เล่มม่วง</v>
      </c>
    </row>
    <row r="84" spans="1:16" ht="13.2" customHeight="1" x14ac:dyDescent="0.25">
      <c r="A84" s="2" t="str">
        <f ca="1">IFERROR(__xludf.DUMMYFUNCTION("""COMPUTED_VALUE"""),"18")</f>
        <v>18</v>
      </c>
      <c r="B84" s="2" t="str">
        <f ca="1">IFERROR(__xludf.DUMMYFUNCTION("""COMPUTED_VALUE"""),"จากโครงสร้างของยาต่อไปนี้ ยาในข้อใดที่มีคุณสมบัติทนต่อ catechol-O-methyltransferase")</f>
        <v>จากโครงสร้างของยาต่อไปนี้ ยาในข้อใดที่มีคุณสมบัติทนต่อ catechol-O-methyltransferase</v>
      </c>
      <c r="C84" s="2"/>
      <c r="D84" s="2" t="str">
        <f ca="1">IFERROR(__xludf.DUMMYFUNCTION("""COMPUTED_VALUE"""),"Prodrug Design via Esterification for Oral Bioavailability")</f>
        <v>Prodrug Design via Esterification for Oral Bioavailability</v>
      </c>
      <c r="E84" s="2" t="str">
        <f ca="1">IFERROR(__xludf.DUMMYFUNCTION("""COMPUTED_VALUE"""),"Cytochrome P450 CYP3A4 Phase I Oxidation")</f>
        <v>Cytochrome P450 CYP3A4 Phase I Oxidation</v>
      </c>
      <c r="F84" s="2" t="str">
        <f ca="1">IFERROR(__xludf.DUMMYFUNCTION("""COMPUTED_VALUE"""),"Phase II Glucuronidation Conjugation by UGT")</f>
        <v>Phase II Glucuronidation Conjugation by UGT</v>
      </c>
      <c r="G84" s="2" t="str">
        <f ca="1">IFERROR(__xludf.DUMMYFUNCTION("""COMPUTED_VALUE"""),"Log P Lipophilicity Partition Coefficient optimization")</f>
        <v>Log P Lipophilicity Partition Coefficient optimization</v>
      </c>
      <c r="H84" s="2" t="str">
        <f ca="1">IFERROR(__xludf.DUMMYFUNCTION("""COMPUTED_VALUE"""),"Chiral Eutomer vs Distomer Pharmacological activity")</f>
        <v>Chiral Eutomer vs Distomer Pharmacological activity</v>
      </c>
      <c r="I84" s="2" t="str">
        <f ca="1">IFERROR(__xludf.DUMMYFUNCTION("""COMPUTED_VALUE"""),"1")</f>
        <v>1</v>
      </c>
      <c r="J84" s="2" t="str">
        <f ca="1">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4" s="2"/>
      <c r="L84" s="2" t="str">
        <f ca="1">IFERROR(__xludf.DUMMYFUNCTION("""COMPUTED_VALUE"""),"SAR &amp; Drug Design")</f>
        <v>SAR &amp; Drug Design</v>
      </c>
      <c r="M84" s="2" t="str">
        <f ca="1">IFERROR(__xludf.DUMMYFUNCTION("""COMPUTED_VALUE"""),"Product")</f>
        <v>Product</v>
      </c>
      <c r="N84" s="2" t="str">
        <f ca="1">IFERROR(__xludf.DUMMYFUNCTION("""COMPUTED_VALUE"""),"ข้อ 18 Pharma Plus เล่มม่วง (เฉลยข้อ ก)")</f>
        <v>ข้อ 18 Pharma Plus เล่มม่วง (เฉลยข้อ ก)</v>
      </c>
      <c r="O84" s="2" t="str">
        <f ca="1">IFERROR(__xludf.DUMMYFUNCTION("""COMPUTED_VALUE"""),"Mock")</f>
        <v>Mock</v>
      </c>
      <c r="P84" s="2" t="str">
        <f ca="1">IFERROR(__xludf.DUMMYFUNCTION("""COMPUTED_VALUE"""),"Pharma Plus เล่มม่วง")</f>
        <v>Pharma Plus เล่มม่วง</v>
      </c>
    </row>
    <row r="85" spans="1:16" ht="13.2" customHeight="1" x14ac:dyDescent="0.25">
      <c r="A85" s="2" t="str">
        <f ca="1">IFERROR(__xludf.DUMMYFUNCTION("""COMPUTED_VALUE"""),"19")</f>
        <v>19</v>
      </c>
      <c r="B85" s="2" t="str">
        <f ca="1">IFERROR(__xludf.DUMMYFUNCTION("""COMPUTED_VALUE"""),"จากโครงสร้าง ข้อใดไม่ถูกต้อง")</f>
        <v>จากโครงสร้าง ข้อใดไม่ถูกต้อง</v>
      </c>
      <c r="C85" s="2"/>
      <c r="D85" s="2" t="str">
        <f ca="1">IFERROR(__xludf.DUMMYFUNCTION("""COMPUTED_VALUE"""),"(S)-form มีฤทธิ์มากกว่า (R)-form")</f>
        <v>(S)-form มีฤทธิ์มากกว่า (R)-form</v>
      </c>
      <c r="E85" s="2" t="str">
        <f ca="1">IFERROR(__xludf.DUMMYFUNCTION("""COMPUTED_VALUE"""),"อยู่ในกลุ่ม coumarin")</f>
        <v>อยู่ในกลุ่ม coumarin</v>
      </c>
      <c r="F85" s="2" t="str">
        <f ca="1">IFERROR(__xludf.DUMMYFUNCTION("""COMPUTED_VALUE"""),"Cyclic hemiketal เป็น active form")</f>
        <v>Cyclic hemiketal เป็น active form</v>
      </c>
      <c r="G85" s="2" t="str">
        <f ca="1">IFERROR(__xludf.DUMMYFUNCTION("""COMPUTED_VALUE"""),"ออกฤทธิ์ direct acting anticoagulants")</f>
        <v>ออกฤทธิ์ direct acting anticoagulants</v>
      </c>
      <c r="H85" s="2" t="str">
        <f ca="1">IFERROR(__xludf.DUMMYFUNCTION("""COMPUTED_VALUE"""),"ไม่มีข้อใดไม่ถูกต้อง")</f>
        <v>ไม่มีข้อใดไม่ถูกต้อง</v>
      </c>
      <c r="I85" s="2" t="str">
        <f ca="1">IFERROR(__xludf.DUMMYFUNCTION("""COMPUTED_VALUE"""),"4")</f>
        <v>4</v>
      </c>
      <c r="J85" s="2" t="str">
        <f ca="1">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5" s="2"/>
      <c r="L85" s="2" t="str">
        <f ca="1">IFERROR(__xludf.DUMMYFUNCTION("""COMPUTED_VALUE"""),"SAR &amp; Drug Design")</f>
        <v>SAR &amp; Drug Design</v>
      </c>
      <c r="M85" s="2" t="str">
        <f ca="1">IFERROR(__xludf.DUMMYFUNCTION("""COMPUTED_VALUE"""),"Product")</f>
        <v>Product</v>
      </c>
      <c r="N85" s="2" t="str">
        <f ca="1">IFERROR(__xludf.DUMMYFUNCTION("""COMPUTED_VALUE"""),"ข้อ 19 Pharma Plus เล่มม่วง (เฉลยข้อ ง)")</f>
        <v>ข้อ 19 Pharma Plus เล่มม่วง (เฉลยข้อ ง)</v>
      </c>
      <c r="O85" s="2" t="str">
        <f ca="1">IFERROR(__xludf.DUMMYFUNCTION("""COMPUTED_VALUE"""),"Mock")</f>
        <v>Mock</v>
      </c>
      <c r="P85" s="2" t="str">
        <f ca="1">IFERROR(__xludf.DUMMYFUNCTION("""COMPUTED_VALUE"""),"Pharma Plus เล่มม่วง")</f>
        <v>Pharma Plus เล่มม่วง</v>
      </c>
    </row>
    <row r="86" spans="1:16" ht="13.2" customHeight="1" x14ac:dyDescent="0.25">
      <c r="A86" s="2" t="str">
        <f ca="1">IFERROR(__xludf.DUMMYFUNCTION("""COMPUTED_VALUE"""),"20")</f>
        <v>20</v>
      </c>
      <c r="B86" s="2" t="str">
        <f ca="1">IFERROR(__xludf.DUMMYFUNCTION("""COMPUTED_VALUE"""),"จากโครงสร้าง ข้อความใดต่อไปนี้ไม่ถูกต้อง")</f>
        <v>จากโครงสร้าง ข้อความใดต่อไปนี้ไม่ถูกต้อง</v>
      </c>
      <c r="C86" s="2"/>
      <c r="D86" s="2" t="str">
        <f ca="1">IFERROR(__xludf.DUMMYFUNCTION("""COMPUTED_VALUE"""),"ตัวอย่างยาในกลุ่มนี้ คือ Digoxin")</f>
        <v>ตัวอย่างยาในกลุ่มนี้ คือ Digoxin</v>
      </c>
      <c r="E86" s="2" t="str">
        <f ca="1">IFERROR(__xludf.DUMMYFUNCTION("""COMPUTED_VALUE"""),"Lactone ring เป็นประเภท bufadienolide")</f>
        <v>Lactone ring เป็นประเภท bufadienolide</v>
      </c>
      <c r="F86" s="2" t="str">
        <f ca="1">IFERROR(__xludf.DUMMYFUNCTION("""COMPUTED_VALUE"""),"ออกฤทธิ์ยับยั้ง Na-K ATPase")</f>
        <v>ออกฤทธิ์ยับยั้ง Na-K ATPase</v>
      </c>
      <c r="G86" s="2" t="str">
        <f ca="1">IFERROR(__xludf.DUMMYFUNCTION("""COMPUTED_VALUE"""),"น้ำตาลจะเข้ามาเกาะที่ตำแหน่ง C3")</f>
        <v>น้ำตาลจะเข้ามาเกาะที่ตำแหน่ง C3</v>
      </c>
      <c r="H86" s="2" t="str">
        <f ca="1">IFERROR(__xludf.DUMMYFUNCTION("""COMPUTED_VALUE"""),"ไม่มีข้อใดถูก")</f>
        <v>ไม่มีข้อใดถูก</v>
      </c>
      <c r="I86" s="2" t="str">
        <f ca="1">IFERROR(__xludf.DUMMYFUNCTION("""COMPUTED_VALUE"""),"2")</f>
        <v>2</v>
      </c>
      <c r="J86" s="2" t="str">
        <f ca="1">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6" s="2"/>
      <c r="L86" s="2" t="str">
        <f ca="1">IFERROR(__xludf.DUMMYFUNCTION("""COMPUTED_VALUE"""),"SAR &amp; Drug Design")</f>
        <v>SAR &amp; Drug Design</v>
      </c>
      <c r="M86" s="2" t="str">
        <f ca="1">IFERROR(__xludf.DUMMYFUNCTION("""COMPUTED_VALUE"""),"Product")</f>
        <v>Product</v>
      </c>
      <c r="N86" s="2" t="str">
        <f ca="1">IFERROR(__xludf.DUMMYFUNCTION("""COMPUTED_VALUE"""),"ข้อ 20 Pharma Plus เล่มม่วง (เฉลยข้อ ข)")</f>
        <v>ข้อ 20 Pharma Plus เล่มม่วง (เฉลยข้อ ข)</v>
      </c>
      <c r="O86" s="2" t="str">
        <f ca="1">IFERROR(__xludf.DUMMYFUNCTION("""COMPUTED_VALUE"""),"Mock")</f>
        <v>Mock</v>
      </c>
      <c r="P86" s="2" t="str">
        <f ca="1">IFERROR(__xludf.DUMMYFUNCTION("""COMPUTED_VALUE"""),"Pharma Plus เล่มม่วง")</f>
        <v>Pharma Plus เล่มม่วง</v>
      </c>
    </row>
    <row r="87" spans="1:16" ht="13.2" customHeight="1" x14ac:dyDescent="0.25">
      <c r="A87" s="2" t="str">
        <f ca="1">IFERROR(__xludf.DUMMYFUNCTION("""COMPUTED_VALUE"""),"21")</f>
        <v>21</v>
      </c>
      <c r="B87" s="2" t="str">
        <f ca="1">IFERROR(__xludf.DUMMYFUNCTION("""COMPUTED_VALUE"""),"โครงสร้างใดต่อไปนี้เป็น Ester of Amino Alcohol")</f>
        <v>โครงสร้างใดต่อไปนี้เป็น Ester of Amino Alcohol</v>
      </c>
      <c r="C87" s="2"/>
      <c r="D87" s="2" t="str">
        <f ca="1">IFERROR(__xludf.DUMMYFUNCTION("""COMPUTED_VALUE"""),"Cytochrome P450 CYP3A4 Phase I Oxidation")</f>
        <v>Cytochrome P450 CYP3A4 Phase I Oxidation</v>
      </c>
      <c r="E87" s="2" t="str">
        <f ca="1">IFERROR(__xludf.DUMMYFUNCTION("""COMPUTED_VALUE"""),"Phase II Glucuronidation Conjugation by UGT")</f>
        <v>Phase II Glucuronidation Conjugation by UGT</v>
      </c>
      <c r="F87" s="2" t="str">
        <f ca="1">IFERROR(__xludf.DUMMYFUNCTION("""COMPUTED_VALUE"""),"Log P Lipophilicity Partition Coefficient optimization")</f>
        <v>Log P Lipophilicity Partition Coefficient optimization</v>
      </c>
      <c r="G87" s="2" t="str">
        <f ca="1">IFERROR(__xludf.DUMMYFUNCTION("""COMPUTED_VALUE"""),"Chiral Eutomer vs Distomer Pharmacological activity")</f>
        <v>Chiral Eutomer vs Distomer Pharmacological activity</v>
      </c>
      <c r="H87" s="2" t="str">
        <f ca="1">IFERROR(__xludf.DUMMYFUNCTION("""COMPUTED_VALUE"""),"Covalent Irreversible Enzyme Inhibition")</f>
        <v>Covalent Irreversible Enzyme Inhibition</v>
      </c>
      <c r="I87" s="2" t="str">
        <f ca="1">IFERROR(__xludf.DUMMYFUNCTION("""COMPUTED_VALUE"""),"5")</f>
        <v>5</v>
      </c>
      <c r="J87" s="2" t="str">
        <f ca="1">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7" s="2"/>
      <c r="L87" s="2" t="str">
        <f ca="1">IFERROR(__xludf.DUMMYFUNCTION("""COMPUTED_VALUE"""),"SAR &amp; Drug Design")</f>
        <v>SAR &amp; Drug Design</v>
      </c>
      <c r="M87" s="2" t="str">
        <f ca="1">IFERROR(__xludf.DUMMYFUNCTION("""COMPUTED_VALUE"""),"Product")</f>
        <v>Product</v>
      </c>
      <c r="N87" s="2" t="str">
        <f ca="1">IFERROR(__xludf.DUMMYFUNCTION("""COMPUTED_VALUE"""),"ข้อ 21 Pharma Plus เล่มม่วง (เฉลยข้อ จ)")</f>
        <v>ข้อ 21 Pharma Plus เล่มม่วง (เฉลยข้อ จ)</v>
      </c>
      <c r="O87" s="2" t="str">
        <f ca="1">IFERROR(__xludf.DUMMYFUNCTION("""COMPUTED_VALUE"""),"Mock")</f>
        <v>Mock</v>
      </c>
      <c r="P87" s="2" t="str">
        <f ca="1">IFERROR(__xludf.DUMMYFUNCTION("""COMPUTED_VALUE"""),"Pharma Plus เล่มม่วง")</f>
        <v>Pharma Plus เล่มม่วง</v>
      </c>
    </row>
    <row r="88" spans="1:16" ht="13.2" customHeight="1" x14ac:dyDescent="0.25">
      <c r="A88" s="2" t="str">
        <f ca="1">IFERROR(__xludf.DUMMYFUNCTION("""COMPUTED_VALUE"""),"22")</f>
        <v>22</v>
      </c>
      <c r="B88" s="2" t="str">
        <f ca="1">IFERROR(__xludf.DUMMYFUNCTION("""COMPUTED_VALUE"""),"N3 หรือ Azido group จากสูตรโครงสร้างของ AZT มีผลให้เกิดสิ่งใด")</f>
        <v>N3 หรือ Azido group จากสูตรโครงสร้างของ AZT มีผลให้เกิดสิ่งใด</v>
      </c>
      <c r="C88" s="2"/>
      <c r="D88" s="2" t="str">
        <f ca="1">IFERROR(__xludf.DUMMYFUNCTION("""COMPUTED_VALUE"""),"เพิ่มความสามารถในการจับกับโปรตีน albumin")</f>
        <v>เพิ่มความสามารถในการจับกับโปรตีน albumin</v>
      </c>
      <c r="E88" s="2" t="str">
        <f ca="1">IFERROR(__xludf.DUMMYFUNCTION("""COMPUTED_VALUE"""),"ช่วยเพิ่มการดูดซึมของยา")</f>
        <v>ช่วยเพิ่มการดูดซึมของยา</v>
      </c>
      <c r="F88" s="2" t="str">
        <f ca="1">IFERROR(__xludf.DUMMYFUNCTION("""COMPUTED_VALUE"""),"เพิ่มค่าครึ่งชีวิตให้ยาวขึ้น")</f>
        <v>เพิ่มค่าครึ่งชีวิตให้ยาวขึ้น</v>
      </c>
      <c r="G88" s="2" t="str">
        <f ca="1">IFERROR(__xludf.DUMMYFUNCTION("""COMPUTED_VALUE"""),"เพิ่มการออกฤทธิ์")</f>
        <v>เพิ่มการออกฤทธิ์</v>
      </c>
      <c r="H88" s="2" t="str">
        <f ca="1">IFERROR(__xludf.DUMMYFUNCTION("""COMPUTED_VALUE"""),"มีผลต่อการตั้งสูตรตำรับ")</f>
        <v>มีผลต่อการตั้งสูตรตำรับ</v>
      </c>
      <c r="I88" s="2" t="str">
        <f ca="1">IFERROR(__xludf.DUMMYFUNCTION("""COMPUTED_VALUE"""),"4")</f>
        <v>4</v>
      </c>
      <c r="J88" s="2" t="str">
        <f ca="1">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8" s="2"/>
      <c r="L88" s="2" t="str">
        <f ca="1">IFERROR(__xludf.DUMMYFUNCTION("""COMPUTED_VALUE"""),"SAR &amp; Drug Design")</f>
        <v>SAR &amp; Drug Design</v>
      </c>
      <c r="M88" s="2" t="str">
        <f ca="1">IFERROR(__xludf.DUMMYFUNCTION("""COMPUTED_VALUE"""),"Product")</f>
        <v>Product</v>
      </c>
      <c r="N88" s="2" t="str">
        <f ca="1">IFERROR(__xludf.DUMMYFUNCTION("""COMPUTED_VALUE"""),"ข้อ 22 Pharma Plus เล่มม่วง (เฉลยข้อ ง)")</f>
        <v>ข้อ 22 Pharma Plus เล่มม่วง (เฉลยข้อ ง)</v>
      </c>
      <c r="O88" s="2" t="str">
        <f ca="1">IFERROR(__xludf.DUMMYFUNCTION("""COMPUTED_VALUE"""),"Mock")</f>
        <v>Mock</v>
      </c>
      <c r="P88" s="2" t="str">
        <f ca="1">IFERROR(__xludf.DUMMYFUNCTION("""COMPUTED_VALUE"""),"Pharma Plus เล่มม่วง")</f>
        <v>Pharma Plus เล่มม่วง</v>
      </c>
    </row>
    <row r="89" spans="1:16" ht="13.2" customHeight="1" x14ac:dyDescent="0.25">
      <c r="A89" s="2" t="str">
        <f ca="1">IFERROR(__xludf.DUMMYFUNCTION("""COMPUTED_VALUE"""),"23")</f>
        <v>23</v>
      </c>
      <c r="B89" s="2" t="str">
        <f ca="1">IFERROR(__xludf.DUMMYFUNCTION("""COMPUTED_VALUE"""),"โครงสร้างต่อไปนี้หมายถึงยาชนิดใด")</f>
        <v>โครงสร้างต่อไปนี้หมายถึงยาชนิดใด</v>
      </c>
      <c r="C89" s="2"/>
      <c r="D89" s="2" t="str">
        <f ca="1">IFERROR(__xludf.DUMMYFUNCTION("""COMPUTED_VALUE"""),"Zidovudine")</f>
        <v>Zidovudine</v>
      </c>
      <c r="E89" s="2" t="str">
        <f ca="1">IFERROR(__xludf.DUMMYFUNCTION("""COMPUTED_VALUE"""),"Cotrimoxazole")</f>
        <v>Cotrimoxazole</v>
      </c>
      <c r="F89" s="2" t="str">
        <f ca="1">IFERROR(__xludf.DUMMYFUNCTION("""COMPUTED_VALUE"""),"Ceftriaxone")</f>
        <v>Ceftriaxone</v>
      </c>
      <c r="G89" s="2" t="str">
        <f ca="1">IFERROR(__xludf.DUMMYFUNCTION("""COMPUTED_VALUE"""),"Acyclovir")</f>
        <v>Acyclovir</v>
      </c>
      <c r="H89" s="2" t="str">
        <f ca="1">IFERROR(__xludf.DUMMYFUNCTION("""COMPUTED_VALUE"""),"Ciprofloxacin")</f>
        <v>Ciprofloxacin</v>
      </c>
      <c r="I89" s="2" t="str">
        <f ca="1">IFERROR(__xludf.DUMMYFUNCTION("""COMPUTED_VALUE"""),"4")</f>
        <v>4</v>
      </c>
      <c r="J89" s="2" t="str">
        <f ca="1">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89" s="2"/>
      <c r="L89" s="2" t="str">
        <f ca="1">IFERROR(__xludf.DUMMYFUNCTION("""COMPUTED_VALUE"""),"SAR &amp; Drug Design")</f>
        <v>SAR &amp; Drug Design</v>
      </c>
      <c r="M89" s="2" t="str">
        <f ca="1">IFERROR(__xludf.DUMMYFUNCTION("""COMPUTED_VALUE"""),"Product")</f>
        <v>Product</v>
      </c>
      <c r="N89" s="2" t="str">
        <f ca="1">IFERROR(__xludf.DUMMYFUNCTION("""COMPUTED_VALUE"""),"ข้อ 23 Pharma Plus เล่มม่วง (เฉลยข้อ ง)")</f>
        <v>ข้อ 23 Pharma Plus เล่มม่วง (เฉลยข้อ ง)</v>
      </c>
      <c r="O89" s="2" t="str">
        <f ca="1">IFERROR(__xludf.DUMMYFUNCTION("""COMPUTED_VALUE"""),"Mock")</f>
        <v>Mock</v>
      </c>
      <c r="P89" s="2" t="str">
        <f ca="1">IFERROR(__xludf.DUMMYFUNCTION("""COMPUTED_VALUE"""),"Pharma Plus เล่มม่วง")</f>
        <v>Pharma Plus เล่มม่วง</v>
      </c>
    </row>
    <row r="90" spans="1:16" ht="13.2" customHeight="1" x14ac:dyDescent="0.25">
      <c r="A90" s="2" t="str">
        <f ca="1">IFERROR(__xludf.DUMMYFUNCTION("""COMPUTED_VALUE"""),"24")</f>
        <v>24</v>
      </c>
      <c r="B90" s="2" t="str">
        <f ca="1">IFERROR(__xludf.DUMMYFUNCTION("""COMPUTED_VALUE"""),"ยาปฏิชีวนะข้อใดที่ไม่มีโครงสร้าง B-lactam ring")</f>
        <v>ยาปฏิชีวนะข้อใดที่ไม่มีโครงสร้าง B-lactam ring</v>
      </c>
      <c r="C90" s="2"/>
      <c r="D90" s="2" t="str">
        <f ca="1">IFERROR(__xludf.DUMMYFUNCTION("""COMPUTED_VALUE"""),"Ciprofloxacin")</f>
        <v>Ciprofloxacin</v>
      </c>
      <c r="E90" s="2" t="str">
        <f ca="1">IFERROR(__xludf.DUMMYFUNCTION("""COMPUTED_VALUE"""),"Amoxycillin")</f>
        <v>Amoxycillin</v>
      </c>
      <c r="F90" s="2" t="str">
        <f ca="1">IFERROR(__xludf.DUMMYFUNCTION("""COMPUTED_VALUE"""),"Imipenam")</f>
        <v>Imipenam</v>
      </c>
      <c r="G90" s="2" t="str">
        <f ca="1">IFERROR(__xludf.DUMMYFUNCTION("""COMPUTED_VALUE"""),"Cloxacillin")</f>
        <v>Cloxacillin</v>
      </c>
      <c r="H90" s="2" t="str">
        <f ca="1">IFERROR(__xludf.DUMMYFUNCTION("""COMPUTED_VALUE"""),"Cefazolin")</f>
        <v>Cefazolin</v>
      </c>
      <c r="I90" s="2" t="str">
        <f ca="1">IFERROR(__xludf.DUMMYFUNCTION("""COMPUTED_VALUE"""),"1")</f>
        <v>1</v>
      </c>
      <c r="J90" s="2" t="str">
        <f ca="1">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0" s="2"/>
      <c r="L90" s="2" t="str">
        <f ca="1">IFERROR(__xludf.DUMMYFUNCTION("""COMPUTED_VALUE"""),"SAR &amp; Drug Design")</f>
        <v>SAR &amp; Drug Design</v>
      </c>
      <c r="M90" s="2" t="str">
        <f ca="1">IFERROR(__xludf.DUMMYFUNCTION("""COMPUTED_VALUE"""),"Product")</f>
        <v>Product</v>
      </c>
      <c r="N90" s="2" t="str">
        <f ca="1">IFERROR(__xludf.DUMMYFUNCTION("""COMPUTED_VALUE"""),"ข้อ 24 Pharma Plus เล่มม่วง (เฉลยข้อ ก)")</f>
        <v>ข้อ 24 Pharma Plus เล่มม่วง (เฉลยข้อ ก)</v>
      </c>
      <c r="O90" s="2" t="str">
        <f ca="1">IFERROR(__xludf.DUMMYFUNCTION("""COMPUTED_VALUE"""),"Mock")</f>
        <v>Mock</v>
      </c>
      <c r="P90" s="2" t="str">
        <f ca="1">IFERROR(__xludf.DUMMYFUNCTION("""COMPUTED_VALUE"""),"Pharma Plus เล่มม่วง")</f>
        <v>Pharma Plus เล่มม่วง</v>
      </c>
    </row>
    <row r="91" spans="1:16" ht="13.2" customHeight="1" x14ac:dyDescent="0.25">
      <c r="A91" s="2" t="str">
        <f ca="1">IFERROR(__xludf.DUMMYFUNCTION("""COMPUTED_VALUE"""),"25")</f>
        <v>25</v>
      </c>
      <c r="B91" s="2" t="str">
        <f ca="1">IFERROR(__xludf.DUMMYFUNCTION("""COMPUTED_VALUE"""),"จากสูตรโครงสร้างของยา amoxacillin นี้ตำแหน่งไหนที่ถูกทำลายได้ง่ายและมีผลต่อการดื้อยา")</f>
        <v>จากสูตรโครงสร้างของยา amoxacillin นี้ตำแหน่งไหนที่ถูกทำลายได้ง่ายและมีผลต่อการดื้อยา</v>
      </c>
      <c r="C91" s="2"/>
      <c r="D91" s="2" t="str">
        <f ca="1">IFERROR(__xludf.DUMMYFUNCTION("""COMPUTED_VALUE"""),"Covalent Irreversible Enzyme Inhibition")</f>
        <v>Covalent Irreversible Enzyme Inhibition</v>
      </c>
      <c r="E91" s="2" t="str">
        <f ca="1">IFERROR(__xludf.DUMMYFUNCTION("""COMPUTED_VALUE"""),"Structure-Activity Relationship (SAR) Optimization")</f>
        <v>Structure-Activity Relationship (SAR) Optimization</v>
      </c>
      <c r="F91" s="2" t="str">
        <f ca="1">IFERROR(__xludf.DUMMYFUNCTION("""COMPUTED_VALUE"""),"Bioisosteric Replacement (Carboxylic acid → Tetrazole)")</f>
        <v>Bioisosteric Replacement (Carboxylic acid → Tetrazole)</v>
      </c>
      <c r="G91" s="2" t="str">
        <f ca="1">IFERROR(__xludf.DUMMYFUNCTION("""COMPUTED_VALUE"""),"Prodrug Design via Esterification for Oral Bioavailability")</f>
        <v>Prodrug Design via Esterification for Oral Bioavailability</v>
      </c>
      <c r="H91" s="2" t="str">
        <f ca="1">IFERROR(__xludf.DUMMYFUNCTION("""COMPUTED_VALUE"""),"Cytochrome P450 CYP3A4 Phase I Oxidation")</f>
        <v>Cytochrome P450 CYP3A4 Phase I Oxidation</v>
      </c>
      <c r="I91" s="2" t="str">
        <f ca="1">IFERROR(__xludf.DUMMYFUNCTION("""COMPUTED_VALUE"""),"3")</f>
        <v>3</v>
      </c>
      <c r="J91" s="2" t="str">
        <f ca="1">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1" s="2"/>
      <c r="L91" s="2" t="str">
        <f ca="1">IFERROR(__xludf.DUMMYFUNCTION("""COMPUTED_VALUE"""),"SAR &amp; Drug Design")</f>
        <v>SAR &amp; Drug Design</v>
      </c>
      <c r="M91" s="2" t="str">
        <f ca="1">IFERROR(__xludf.DUMMYFUNCTION("""COMPUTED_VALUE"""),"Product")</f>
        <v>Product</v>
      </c>
      <c r="N91" s="2" t="str">
        <f ca="1">IFERROR(__xludf.DUMMYFUNCTION("""COMPUTED_VALUE"""),"ข้อ 25 Pharma Plus เล่มม่วง (เฉลยข้อ ค)")</f>
        <v>ข้อ 25 Pharma Plus เล่มม่วง (เฉลยข้อ ค)</v>
      </c>
      <c r="O91" s="2" t="str">
        <f ca="1">IFERROR(__xludf.DUMMYFUNCTION("""COMPUTED_VALUE"""),"Mock")</f>
        <v>Mock</v>
      </c>
      <c r="P91" s="2" t="str">
        <f ca="1">IFERROR(__xludf.DUMMYFUNCTION("""COMPUTED_VALUE"""),"Pharma Plus เล่มม่วง")</f>
        <v>Pharma Plus เล่มม่วง</v>
      </c>
    </row>
    <row r="92" spans="1:16" ht="13.2" customHeight="1" x14ac:dyDescent="0.25">
      <c r="A92" s="2" t="str">
        <f ca="1">IFERROR(__xludf.DUMMYFUNCTION("""COMPUTED_VALUE"""),"26")</f>
        <v>26</v>
      </c>
      <c r="B92" s="2" t="str">
        <f ca="1">IFERROR(__xludf.DUMMYFUNCTION("""COMPUTED_VALUE"""),"ข้อใดผิดเกี่ยวกับ penicillin")</f>
        <v>ข้อใดผิดเกี่ยวกับ penicillin</v>
      </c>
      <c r="C92" s="2"/>
      <c r="D92" s="2" t="str">
        <f ca="1">IFERROR(__xludf.DUMMYFUNCTION("""COMPUTED_VALUE"""),"Pen G มี chain เป็น Benzoyl group")</f>
        <v>Pen G มี chain เป็น Benzoyl group</v>
      </c>
      <c r="E92" s="2" t="str">
        <f ca="1">IFERROR(__xludf.DUMMYFUNCTION("""COMPUTED_VALUE"""),"Pen G potassium ละลายได้ดีกว่า Pen G")</f>
        <v>Pen G potassium ละลายได้ดีกว่า Pen G</v>
      </c>
      <c r="F92" s="2" t="str">
        <f ca="1">IFERROR(__xludf.DUMMYFUNCTION("""COMPUTED_VALUE"""),"Benzathine Pen G เป็นเกลือของ Pen G")</f>
        <v>Benzathine Pen G เป็นเกลือของ Pen G</v>
      </c>
      <c r="G92" s="2" t="str">
        <f ca="1">IFERROR(__xludf.DUMMYFUNCTION("""COMPUTED_VALUE"""),"B-lactamase ถูก Hydrolyze ด้วยกรด")</f>
        <v>B-lactamase ถูก Hydrolyze ด้วยกรด</v>
      </c>
      <c r="H92" s="2" t="str">
        <f ca="1">IFERROR(__xludf.DUMMYFUNCTION("""COMPUTED_VALUE"""),"Procaine penicillin G ถูกดูดได้ดีในทางเดินอาหาร")</f>
        <v>Procaine penicillin G ถูกดูดได้ดีในทางเดินอาหาร</v>
      </c>
      <c r="I92" s="2" t="str">
        <f ca="1">IFERROR(__xludf.DUMMYFUNCTION("""COMPUTED_VALUE"""),"5")</f>
        <v>5</v>
      </c>
      <c r="J92" s="2" t="str">
        <f ca="1">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2" s="2"/>
      <c r="L92" s="2" t="str">
        <f ca="1">IFERROR(__xludf.DUMMYFUNCTION("""COMPUTED_VALUE"""),"SAR &amp; Drug Design")</f>
        <v>SAR &amp; Drug Design</v>
      </c>
      <c r="M92" s="2" t="str">
        <f ca="1">IFERROR(__xludf.DUMMYFUNCTION("""COMPUTED_VALUE"""),"Product")</f>
        <v>Product</v>
      </c>
      <c r="N92" s="2" t="str">
        <f ca="1">IFERROR(__xludf.DUMMYFUNCTION("""COMPUTED_VALUE"""),"ข้อ 26 Pharma Plus เล่มม่วง (เฉลยข้อ จ)")</f>
        <v>ข้อ 26 Pharma Plus เล่มม่วง (เฉลยข้อ จ)</v>
      </c>
      <c r="O92" s="2" t="str">
        <f ca="1">IFERROR(__xludf.DUMMYFUNCTION("""COMPUTED_VALUE"""),"Mock")</f>
        <v>Mock</v>
      </c>
      <c r="P92" s="2" t="str">
        <f ca="1">IFERROR(__xludf.DUMMYFUNCTION("""COMPUTED_VALUE"""),"Pharma Plus เล่มม่วง")</f>
        <v>Pharma Plus เล่มม่วง</v>
      </c>
    </row>
    <row r="93" spans="1:16" ht="13.2" customHeight="1" x14ac:dyDescent="0.25">
      <c r="A93" s="2" t="str">
        <f ca="1">IFERROR(__xludf.DUMMYFUNCTION("""COMPUTED_VALUE"""),"27")</f>
        <v>27</v>
      </c>
      <c r="B93" s="2" t="str">
        <f ca="1">IFERROR(__xludf.DUMMYFUNCTION("""COMPUTED_VALUE"""),"Doxycycline มีสูตรโครงสร้างรูป เป็นยากลุ่มเดียวกันกับยาใด")</f>
        <v>Doxycycline มีสูตรโครงสร้างรูป เป็นยากลุ่มเดียวกันกับยาใด</v>
      </c>
      <c r="C93" s="2"/>
      <c r="D93" s="2" t="str">
        <f ca="1">IFERROR(__xludf.DUMMYFUNCTION("""COMPUTED_VALUE"""),"Tetracycline")</f>
        <v>Tetracycline</v>
      </c>
      <c r="E93" s="2" t="str">
        <f ca="1">IFERROR(__xludf.DUMMYFUNCTION("""COMPUTED_VALUE"""),"Penicillin")</f>
        <v>Penicillin</v>
      </c>
      <c r="F93" s="2" t="str">
        <f ca="1">IFERROR(__xludf.DUMMYFUNCTION("""COMPUTED_VALUE"""),"Cotrimazole")</f>
        <v>Cotrimazole</v>
      </c>
      <c r="G93" s="2" t="str">
        <f ca="1">IFERROR(__xludf.DUMMYFUNCTION("""COMPUTED_VALUE"""),"Sulfamethoxazole")</f>
        <v>Sulfamethoxazole</v>
      </c>
      <c r="H93" s="2" t="str">
        <f ca="1">IFERROR(__xludf.DUMMYFUNCTION("""COMPUTED_VALUE"""),"Amoxicillin")</f>
        <v>Amoxicillin</v>
      </c>
      <c r="I93" s="2" t="str">
        <f ca="1">IFERROR(__xludf.DUMMYFUNCTION("""COMPUTED_VALUE"""),"1")</f>
        <v>1</v>
      </c>
      <c r="J93" s="2" t="str">
        <f ca="1">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3" s="2"/>
      <c r="L93" s="2" t="str">
        <f ca="1">IFERROR(__xludf.DUMMYFUNCTION("""COMPUTED_VALUE"""),"SAR &amp; Drug Design")</f>
        <v>SAR &amp; Drug Design</v>
      </c>
      <c r="M93" s="2" t="str">
        <f ca="1">IFERROR(__xludf.DUMMYFUNCTION("""COMPUTED_VALUE"""),"Product")</f>
        <v>Product</v>
      </c>
      <c r="N93" s="2" t="str">
        <f ca="1">IFERROR(__xludf.DUMMYFUNCTION("""COMPUTED_VALUE"""),"ข้อ 27 Pharma Plus เล่มม่วง (เฉลยข้อ ก)")</f>
        <v>ข้อ 27 Pharma Plus เล่มม่วง (เฉลยข้อ ก)</v>
      </c>
      <c r="O93" s="2" t="str">
        <f ca="1">IFERROR(__xludf.DUMMYFUNCTION("""COMPUTED_VALUE"""),"Mock")</f>
        <v>Mock</v>
      </c>
      <c r="P93" s="2" t="str">
        <f ca="1">IFERROR(__xludf.DUMMYFUNCTION("""COMPUTED_VALUE"""),"Pharma Plus เล่มม่วง")</f>
        <v>Pharma Plus เล่มม่วง</v>
      </c>
    </row>
    <row r="94" spans="1:16" ht="13.2" customHeight="1" x14ac:dyDescent="0.25">
      <c r="A94" s="2" t="str">
        <f ca="1">IFERROR(__xludf.DUMMYFUNCTION("""COMPUTED_VALUE"""),"28")</f>
        <v>28</v>
      </c>
      <c r="B94" s="2" t="str">
        <f ca="1">IFERROR(__xludf.DUMMYFUNCTION("""COMPUTED_VALUE"""),"เกี่ยวกับโครงสร้างของสารดังรูป ทุกข้อต่อไปนี้ถูกต้อง ยกเว้นข้อใด")</f>
        <v>เกี่ยวกับโครงสร้างของสารดังรูป ทุกข้อต่อไปนี้ถูกต้อง ยกเว้นข้อใด</v>
      </c>
      <c r="C94" s="2"/>
      <c r="D94" s="2" t="str">
        <f ca="1">IFERROR(__xludf.DUMMYFUNCTION("""COMPUTED_VALUE"""),"เป็นสารในกลุ่ม 8-aminoquinoline")</f>
        <v>เป็นสารในกลุ่ม 8-aminoquinoline</v>
      </c>
      <c r="E94" s="2" t="str">
        <f ca="1">IFERROR(__xludf.DUMMYFUNCTION("""COMPUTED_VALUE"""),"ตัวอย่างยาในกลุ่มนี้ได้แก่ primaquine")</f>
        <v>ตัวอย่างยาในกลุ่มนี้ได้แก่ primaquine</v>
      </c>
      <c r="F94" s="2" t="str">
        <f ca="1">IFERROR(__xludf.DUMMYFUNCTION("""COMPUTED_VALUE"""),"ถ้ามี Cl ที่ตำแหน่ง 7 จะทำให้ได้ฤทธิ์สูงสุด และมีพิษน้อย")</f>
        <v>ถ้ามี Cl ที่ตำแหน่ง 7 จะทำให้ได้ฤทธิ์สูงสุด และมีพิษน้อย</v>
      </c>
      <c r="G94" s="2" t="str">
        <f ca="1">IFERROR(__xludf.DUMMYFUNCTION("""COMPUTED_VALUE"""),"Dialkylamino alkylamine side chain จะให้ฤทธิ์สูงสุดเมื่อ n = 2, 5 หรือ 6")</f>
        <v>Dialkylamino alkylamine side chain จะให้ฤทธิ์สูงสุดเมื่อ n = 2, 5 หรือ 6</v>
      </c>
      <c r="H94" s="2" t="str">
        <f ca="1">IFERROR(__xludf.DUMMYFUNCTION("""COMPUTED_VALUE"""),"Quinoline ring system และอนุพันธ์ให้ผลที่ดีกว่า acridine ring system")</f>
        <v>Quinoline ring system และอนุพันธ์ให้ผลที่ดีกว่า acridine ring system</v>
      </c>
      <c r="I94" s="2" t="str">
        <f ca="1">IFERROR(__xludf.DUMMYFUNCTION("""COMPUTED_VALUE"""),"4")</f>
        <v>4</v>
      </c>
      <c r="J94" s="2" t="str">
        <f ca="1">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4" s="2"/>
      <c r="L94" s="2" t="str">
        <f ca="1">IFERROR(__xludf.DUMMYFUNCTION("""COMPUTED_VALUE"""),"SAR &amp; Drug Design")</f>
        <v>SAR &amp; Drug Design</v>
      </c>
      <c r="M94" s="2" t="str">
        <f ca="1">IFERROR(__xludf.DUMMYFUNCTION("""COMPUTED_VALUE"""),"Product")</f>
        <v>Product</v>
      </c>
      <c r="N94" s="2" t="str">
        <f ca="1">IFERROR(__xludf.DUMMYFUNCTION("""COMPUTED_VALUE"""),"ข้อ 28 Pharma Plus เล่มม่วง (เฉลยข้อ ง)")</f>
        <v>ข้อ 28 Pharma Plus เล่มม่วง (เฉลยข้อ ง)</v>
      </c>
      <c r="O94" s="2" t="str">
        <f ca="1">IFERROR(__xludf.DUMMYFUNCTION("""COMPUTED_VALUE"""),"Mock")</f>
        <v>Mock</v>
      </c>
      <c r="P94" s="2" t="str">
        <f ca="1">IFERROR(__xludf.DUMMYFUNCTION("""COMPUTED_VALUE"""),"Pharma Plus เล่มม่วง")</f>
        <v>Pharma Plus เล่มม่วง</v>
      </c>
    </row>
    <row r="95" spans="1:16" ht="13.2" customHeight="1" x14ac:dyDescent="0.25">
      <c r="A95" s="2" t="str">
        <f ca="1">IFERROR(__xludf.DUMMYFUNCTION("""COMPUTED_VALUE"""),"29")</f>
        <v>29</v>
      </c>
      <c r="B95" s="2" t="str">
        <f ca="1">IFERROR(__xludf.DUMMYFUNCTION("""COMPUTED_VALUE"""),"จากสูตรโครงสร้างของ folic acid ข้อใดกล่าวไม่ถูกต้อง")</f>
        <v>จากสูตรโครงสร้างของ folic acid ข้อใดกล่าวไม่ถูกต้อง</v>
      </c>
      <c r="C95" s="2"/>
      <c r="D95" s="2" t="str">
        <f ca="1">IFERROR(__xludf.DUMMYFUNCTION("""COMPUTED_VALUE"""),"เป็น water soluble vitamin")</f>
        <v>เป็น water soluble vitamin</v>
      </c>
      <c r="E95" s="2" t="str">
        <f ca="1">IFERROR(__xludf.DUMMYFUNCTION("""COMPUTED_VALUE"""),"เรียกอีกอย่างหนึ่งว่า vitamin B9")</f>
        <v>เรียกอีกอย่างหนึ่งว่า vitamin B9</v>
      </c>
      <c r="F95" s="2" t="str">
        <f ca="1">IFERROR(__xludf.DUMMYFUNCTION("""COMPUTED_VALUE"""),"เกี่ยวข้องกับการสร้าง DNA และ RNA")</f>
        <v>เกี่ยวข้องกับการสร้าง DNA และ RNA</v>
      </c>
      <c r="G95" s="2" t="str">
        <f ca="1">IFERROR(__xludf.DUMMYFUNCTION("""COMPUTED_VALUE"""),"มนุษย์สามารถสังเคราะห์ folic acid ได้")</f>
        <v>มนุษย์สามารถสังเคราะห์ folic acid ได้</v>
      </c>
      <c r="H95" s="2" t="str">
        <f ca="1">IFERROR(__xludf.DUMMYFUNCTION("""COMPUTED_VALUE"""),"ใน IR chromatogram จะเห็น peak ที่ชัดเจน ที่ค่าความถี่ประมาณ 1,700 cm⁻¹")</f>
        <v>ใน IR chromatogram จะเห็น peak ที่ชัดเจน ที่ค่าความถี่ประมาณ 1,700 cm⁻¹</v>
      </c>
      <c r="I95" s="2" t="str">
        <f ca="1">IFERROR(__xludf.DUMMYFUNCTION("""COMPUTED_VALUE"""),"4")</f>
        <v>4</v>
      </c>
      <c r="J95" s="2" t="str">
        <f ca="1">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5" s="2"/>
      <c r="L95" s="2" t="str">
        <f ca="1">IFERROR(__xludf.DUMMYFUNCTION("""COMPUTED_VALUE"""),"SAR &amp; Drug Design")</f>
        <v>SAR &amp; Drug Design</v>
      </c>
      <c r="M95" s="2" t="str">
        <f ca="1">IFERROR(__xludf.DUMMYFUNCTION("""COMPUTED_VALUE"""),"Product")</f>
        <v>Product</v>
      </c>
      <c r="N95" s="2" t="str">
        <f ca="1">IFERROR(__xludf.DUMMYFUNCTION("""COMPUTED_VALUE"""),"ข้อ 29 Pharma Plus เล่มม่วง (เฉลยข้อ ง)")</f>
        <v>ข้อ 29 Pharma Plus เล่มม่วง (เฉลยข้อ ง)</v>
      </c>
      <c r="O95" s="2" t="str">
        <f ca="1">IFERROR(__xludf.DUMMYFUNCTION("""COMPUTED_VALUE"""),"Mock")</f>
        <v>Mock</v>
      </c>
      <c r="P95" s="2" t="str">
        <f ca="1">IFERROR(__xludf.DUMMYFUNCTION("""COMPUTED_VALUE"""),"Pharma Plus เล่มม่วง")</f>
        <v>Pharma Plus เล่มม่วง</v>
      </c>
    </row>
    <row r="96" spans="1:16" ht="13.2" customHeight="1" x14ac:dyDescent="0.25">
      <c r="A96" s="2" t="str">
        <f ca="1">IFERROR(__xludf.DUMMYFUNCTION("""COMPUTED_VALUE"""),"30")</f>
        <v>30</v>
      </c>
      <c r="B96" s="2" t="str">
        <f ca="1">IFERROR(__xludf.DUMMYFUNCTION("""COMPUTED_VALUE"""),"จากโครงสร้าง ไม่สามารถใช้ในผู้ป่วยกลุ่มใด")</f>
        <v>จากโครงสร้าง ไม่สามารถใช้ในผู้ป่วยกลุ่มใด</v>
      </c>
      <c r="C96" s="2"/>
      <c r="D96" s="2" t="str">
        <f ca="1">IFERROR(__xludf.DUMMYFUNCTION("""COMPUTED_VALUE"""),"Pediatric")</f>
        <v>Pediatric</v>
      </c>
      <c r="E96" s="2" t="str">
        <f ca="1">IFERROR(__xludf.DUMMYFUNCTION("""COMPUTED_VALUE"""),"Cirrhosis/Hepatitis")</f>
        <v>Cirrhosis/Hepatitis</v>
      </c>
      <c r="F96" s="2" t="str">
        <f ca="1">IFERROR(__xludf.DUMMYFUNCTION("""COMPUTED_VALUE"""),"Pregnancy")</f>
        <v>Pregnancy</v>
      </c>
      <c r="G96" s="2" t="str">
        <f ca="1">IFERROR(__xludf.DUMMYFUNCTION("""COMPUTED_VALUE"""),"Renal failure")</f>
        <v>Renal failure</v>
      </c>
      <c r="H96" s="2" t="str">
        <f ca="1">IFERROR(__xludf.DUMMYFUNCTION("""COMPUTED_VALUE"""),"Sulfa allergy")</f>
        <v>Sulfa allergy</v>
      </c>
      <c r="I96" s="2" t="str">
        <f ca="1">IFERROR(__xludf.DUMMYFUNCTION("""COMPUTED_VALUE"""),"5")</f>
        <v>5</v>
      </c>
      <c r="J96" s="2" t="str">
        <f ca="1">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6" s="2"/>
      <c r="L96" s="2" t="str">
        <f ca="1">IFERROR(__xludf.DUMMYFUNCTION("""COMPUTED_VALUE"""),"SAR &amp; Drug Design")</f>
        <v>SAR &amp; Drug Design</v>
      </c>
      <c r="M96" s="2" t="str">
        <f ca="1">IFERROR(__xludf.DUMMYFUNCTION("""COMPUTED_VALUE"""),"Product")</f>
        <v>Product</v>
      </c>
      <c r="N96" s="2" t="str">
        <f ca="1">IFERROR(__xludf.DUMMYFUNCTION("""COMPUTED_VALUE"""),"ข้อ 30 Pharma Plus เล่มม่วง (เฉลยข้อ จ)")</f>
        <v>ข้อ 30 Pharma Plus เล่มม่วง (เฉลยข้อ จ)</v>
      </c>
      <c r="O96" s="2" t="str">
        <f ca="1">IFERROR(__xludf.DUMMYFUNCTION("""COMPUTED_VALUE"""),"Mock")</f>
        <v>Mock</v>
      </c>
      <c r="P96" s="2" t="str">
        <f ca="1">IFERROR(__xludf.DUMMYFUNCTION("""COMPUTED_VALUE"""),"Pharma Plus เล่มม่วง")</f>
        <v>Pharma Plus เล่มม่วง</v>
      </c>
    </row>
    <row r="97" spans="1:16" ht="13.2" customHeight="1" x14ac:dyDescent="0.25">
      <c r="A97" s="2" t="str">
        <f ca="1">IFERROR(__xludf.DUMMYFUNCTION("""COMPUTED_VALUE"""),"31")</f>
        <v>31</v>
      </c>
      <c r="B97" s="2" t="str">
        <f ca="1">IFERROR(__xludf.DUMMYFUNCTION("""COMPUTED_VALUE"""),"จากโครงสร้างของยา glybenclamide ข้อใดเป็นเหตุผลที่ทำให้ duration นานขึ้น")</f>
        <v>จากโครงสร้างของยา glybenclamide ข้อใดเป็นเหตุผลที่ทำให้ duration นานขึ้น</v>
      </c>
      <c r="C97" s="2"/>
      <c r="D97" s="2" t="str">
        <f ca="1">IFERROR(__xludf.DUMMYFUNCTION("""COMPUTED_VALUE"""),"สามารถหมุนแสง polarized ได้")</f>
        <v>สามารถหมุนแสง polarized ได้</v>
      </c>
      <c r="E97" s="2" t="str">
        <f ca="1">IFERROR(__xludf.DUMMYFUNCTION("""COMPUTED_VALUE"""),"สามารถวิเคราะห์ได้โดยใช้วิธี HPLC-UV detection")</f>
        <v>สามารถวิเคราะห์ได้โดยใช้วิธี HPLC-UV detection</v>
      </c>
      <c r="F97" s="2" t="str">
        <f ca="1">IFERROR(__xludf.DUMMYFUNCTION("""COMPUTED_VALUE"""),"หมู่ซัลโฟไททำให้โครงสร้างมีความเป็นกรด")</f>
        <v>หมู่ซัลโฟไททำให้โครงสร้างมีความเป็นกรด</v>
      </c>
      <c r="G97" s="2" t="str">
        <f ca="1">IFERROR(__xludf.DUMMYFUNCTION("""COMPUTED_VALUE"""),"หมู่ยูเรียทำให้โครงสร้างมีความเป็นเบส")</f>
        <v>หมู่ยูเรียทำให้โครงสร้างมีความเป็นเบส</v>
      </c>
      <c r="H97" s="2" t="str">
        <f ca="1">IFERROR(__xludf.DUMMYFUNCTION("""COMPUTED_VALUE"""),"วงแหวนอะโรมาติกปลาย ซึ่งมีหมู่คลอโรในเมตาบอไลต์โดยกระบวนการออกซิเดชันได้")</f>
        <v>วงแหวนอะโรมาติกปลาย ซึ่งมีหมู่คลอโรในเมตาบอไลต์โดยกระบวนการออกซิเดชันได้</v>
      </c>
      <c r="I97" s="2" t="str">
        <f ca="1">IFERROR(__xludf.DUMMYFUNCTION("""COMPUTED_VALUE"""),"5")</f>
        <v>5</v>
      </c>
      <c r="J97" s="2" t="str">
        <f ca="1">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7" s="2"/>
      <c r="L97" s="2" t="str">
        <f ca="1">IFERROR(__xludf.DUMMYFUNCTION("""COMPUTED_VALUE"""),"SAR &amp; Drug Design")</f>
        <v>SAR &amp; Drug Design</v>
      </c>
      <c r="M97" s="2" t="str">
        <f ca="1">IFERROR(__xludf.DUMMYFUNCTION("""COMPUTED_VALUE"""),"Product")</f>
        <v>Product</v>
      </c>
      <c r="N97" s="2" t="str">
        <f ca="1">IFERROR(__xludf.DUMMYFUNCTION("""COMPUTED_VALUE"""),"ข้อ 31 Pharma Plus เล่มม่วง (เฉลยข้อ จ)")</f>
        <v>ข้อ 31 Pharma Plus เล่มม่วง (เฉลยข้อ จ)</v>
      </c>
      <c r="O97" s="2" t="str">
        <f ca="1">IFERROR(__xludf.DUMMYFUNCTION("""COMPUTED_VALUE"""),"Mock")</f>
        <v>Mock</v>
      </c>
      <c r="P97" s="2" t="str">
        <f ca="1">IFERROR(__xludf.DUMMYFUNCTION("""COMPUTED_VALUE"""),"Pharma Plus เล่มม่วง")</f>
        <v>Pharma Plus เล่มม่วง</v>
      </c>
    </row>
    <row r="98" spans="1:16" ht="13.2" customHeight="1" x14ac:dyDescent="0.25">
      <c r="A98" s="2" t="str">
        <f ca="1">IFERROR(__xludf.DUMMYFUNCTION("""COMPUTED_VALUE"""),"32")</f>
        <v>32</v>
      </c>
      <c r="B98" s="2" t="str">
        <f ca="1">IFERROR(__xludf.DUMMYFUNCTION("""COMPUTED_VALUE"""),"จากสูตรโครงสร้างต่อไปนี้ของยา glipizide จัดว่าเป็นยากลุ่มใด")</f>
        <v>จากสูตรโครงสร้างต่อไปนี้ของยา glipizide จัดว่าเป็นยากลุ่มใด</v>
      </c>
      <c r="C98" s="2"/>
      <c r="D98" s="2" t="str">
        <f ca="1">IFERROR(__xludf.DUMMYFUNCTION("""COMPUTED_VALUE"""),"Biguanides")</f>
        <v>Biguanides</v>
      </c>
      <c r="E98" s="2" t="str">
        <f ca="1">IFERROR(__xludf.DUMMYFUNCTION("""COMPUTED_VALUE"""),"Nicotinic acids")</f>
        <v>Nicotinic acids</v>
      </c>
      <c r="F98" s="2" t="str">
        <f ca="1">IFERROR(__xludf.DUMMYFUNCTION("""COMPUTED_VALUE"""),"Sulfonylurea compounds")</f>
        <v>Sulfonylurea compounds</v>
      </c>
      <c r="G98" s="2" t="str">
        <f ca="1">IFERROR(__xludf.DUMMYFUNCTION("""COMPUTED_VALUE"""),"Nucleoside analogue")</f>
        <v>Nucleoside analogue</v>
      </c>
      <c r="H98" s="2" t="str">
        <f ca="1">IFERROR(__xludf.DUMMYFUNCTION("""COMPUTED_VALUE"""),"Sulfones")</f>
        <v>Sulfones</v>
      </c>
      <c r="I98" s="2" t="str">
        <f ca="1">IFERROR(__xludf.DUMMYFUNCTION("""COMPUTED_VALUE"""),"3")</f>
        <v>3</v>
      </c>
      <c r="J98" s="2" t="str">
        <f ca="1">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8" s="2"/>
      <c r="L98" s="2" t="str">
        <f ca="1">IFERROR(__xludf.DUMMYFUNCTION("""COMPUTED_VALUE"""),"SAR &amp; Drug Design")</f>
        <v>SAR &amp; Drug Design</v>
      </c>
      <c r="M98" s="2" t="str">
        <f ca="1">IFERROR(__xludf.DUMMYFUNCTION("""COMPUTED_VALUE"""),"Product")</f>
        <v>Product</v>
      </c>
      <c r="N98" s="2" t="str">
        <f ca="1">IFERROR(__xludf.DUMMYFUNCTION("""COMPUTED_VALUE"""),"ข้อ 32 Pharma Plus เล่มม่วง (เฉลยข้อ ค)")</f>
        <v>ข้อ 32 Pharma Plus เล่มม่วง (เฉลยข้อ ค)</v>
      </c>
      <c r="O98" s="2" t="str">
        <f ca="1">IFERROR(__xludf.DUMMYFUNCTION("""COMPUTED_VALUE"""),"Mock")</f>
        <v>Mock</v>
      </c>
      <c r="P98" s="2" t="str">
        <f ca="1">IFERROR(__xludf.DUMMYFUNCTION("""COMPUTED_VALUE"""),"Pharma Plus เล่มม่วง")</f>
        <v>Pharma Plus เล่มม่วง</v>
      </c>
    </row>
    <row r="99" spans="1:16" ht="13.2" customHeight="1" x14ac:dyDescent="0.25">
      <c r="A99" s="2" t="str">
        <f ca="1">IFERROR(__xludf.DUMMYFUNCTION("""COMPUTED_VALUE"""),"33")</f>
        <v>33</v>
      </c>
      <c r="B99" s="2" t="str">
        <f ca="1">IFERROR(__xludf.DUMMYFUNCTION("""COMPUTED_VALUE"""),"โครงสร้างต่อไปนี้เป็นโครงสร้างของยากลุ่มใด")</f>
        <v>โครงสร้างต่อไปนี้เป็นโครงสร้างของยากลุ่มใด</v>
      </c>
      <c r="C99" s="2"/>
      <c r="D99" s="2" t="str">
        <f ca="1">IFERROR(__xludf.DUMMYFUNCTION("""COMPUTED_VALUE"""),"Iodoperoxidase inhibitor")</f>
        <v>Iodoperoxidase inhibitor</v>
      </c>
      <c r="E99" s="2" t="str">
        <f ca="1">IFERROR(__xludf.DUMMYFUNCTION("""COMPUTED_VALUE"""),"Sulfonylurea")</f>
        <v>Sulfonylurea</v>
      </c>
      <c r="F99" s="2" t="str">
        <f ca="1">IFERROR(__xludf.DUMMYFUNCTION("""COMPUTED_VALUE"""),"Thyroid hormone")</f>
        <v>Thyroid hormone</v>
      </c>
      <c r="G99" s="2" t="str">
        <f ca="1">IFERROR(__xludf.DUMMYFUNCTION("""COMPUTED_VALUE"""),"Biguanide")</f>
        <v>Biguanide</v>
      </c>
      <c r="H99" s="2" t="str">
        <f ca="1">IFERROR(__xludf.DUMMYFUNCTION("""COMPUTED_VALUE"""),"Insulin analog")</f>
        <v>Insulin analog</v>
      </c>
      <c r="I99" s="2" t="str">
        <f ca="1">IFERROR(__xludf.DUMMYFUNCTION("""COMPUTED_VALUE"""),"4")</f>
        <v>4</v>
      </c>
      <c r="J99" s="2" t="str">
        <f ca="1">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99" s="2"/>
      <c r="L99" s="2" t="str">
        <f ca="1">IFERROR(__xludf.DUMMYFUNCTION("""COMPUTED_VALUE"""),"SAR &amp; Drug Design")</f>
        <v>SAR &amp; Drug Design</v>
      </c>
      <c r="M99" s="2" t="str">
        <f ca="1">IFERROR(__xludf.DUMMYFUNCTION("""COMPUTED_VALUE"""),"Product")</f>
        <v>Product</v>
      </c>
      <c r="N99" s="2" t="str">
        <f ca="1">IFERROR(__xludf.DUMMYFUNCTION("""COMPUTED_VALUE"""),"ข้อ 33 Pharma Plus เล่มม่วง (เฉลยข้อ ง)")</f>
        <v>ข้อ 33 Pharma Plus เล่มม่วง (เฉลยข้อ ง)</v>
      </c>
      <c r="O99" s="2" t="str">
        <f ca="1">IFERROR(__xludf.DUMMYFUNCTION("""COMPUTED_VALUE"""),"Mock")</f>
        <v>Mock</v>
      </c>
      <c r="P99" s="2" t="str">
        <f ca="1">IFERROR(__xludf.DUMMYFUNCTION("""COMPUTED_VALUE"""),"Pharma Plus เล่มม่วง")</f>
        <v>Pharma Plus เล่มม่วง</v>
      </c>
    </row>
    <row r="100" spans="1:16" ht="13.2" customHeight="1" x14ac:dyDescent="0.25">
      <c r="A100" s="2" t="str">
        <f ca="1">IFERROR(__xludf.DUMMYFUNCTION("""COMPUTED_VALUE"""),"34")</f>
        <v>34</v>
      </c>
      <c r="B100" s="2" t="str">
        <f ca="1">IFERROR(__xludf.DUMMYFUNCTION("""COMPUTED_VALUE"""),"ชื่อเรียกทั่วไปของยาที่มีโครงสร้างในรูป คือ (ยา PTU)")</f>
        <v>ชื่อเรียกทั่วไปของยาที่มีโครงสร้างในรูป คือ (ยา PTU)</v>
      </c>
      <c r="C100" s="2"/>
      <c r="D100" s="2" t="str">
        <f ca="1">IFERROR(__xludf.DUMMYFUNCTION("""COMPUTED_VALUE"""),"6 propyl 3 thiouracil")</f>
        <v>6 propyl 3 thiouracil</v>
      </c>
      <c r="E100" s="2" t="str">
        <f ca="1">IFERROR(__xludf.DUMMYFUNCTION("""COMPUTED_VALUE"""),"1 propyl 5 thiouracil")</f>
        <v>1 propyl 5 thiouracil</v>
      </c>
      <c r="F100" s="2" t="str">
        <f ca="1">IFERROR(__xludf.DUMMYFUNCTION("""COMPUTED_VALUE"""),"2 propyl 6 thiouracil")</f>
        <v>2 propyl 6 thiouracil</v>
      </c>
      <c r="G100" s="2" t="str">
        <f ca="1">IFERROR(__xludf.DUMMYFUNCTION("""COMPUTED_VALUE"""),"2 propyl 5 thiouracil")</f>
        <v>2 propyl 5 thiouracil</v>
      </c>
      <c r="H100" s="2" t="str">
        <f ca="1">IFERROR(__xludf.DUMMYFUNCTION("""COMPUTED_VALUE"""),"6 propyl 2 thiouracil")</f>
        <v>6 propyl 2 thiouracil</v>
      </c>
      <c r="I100" s="2" t="str">
        <f ca="1">IFERROR(__xludf.DUMMYFUNCTION("""COMPUTED_VALUE"""),"5")</f>
        <v>5</v>
      </c>
      <c r="J100" s="2" t="str">
        <f ca="1">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00" s="2"/>
      <c r="L100" s="2" t="str">
        <f ca="1">IFERROR(__xludf.DUMMYFUNCTION("""COMPUTED_VALUE"""),"SAR &amp; Drug Design")</f>
        <v>SAR &amp; Drug Design</v>
      </c>
      <c r="M100" s="2" t="str">
        <f ca="1">IFERROR(__xludf.DUMMYFUNCTION("""COMPUTED_VALUE"""),"Product")</f>
        <v>Product</v>
      </c>
      <c r="N100" s="2" t="str">
        <f ca="1">IFERROR(__xludf.DUMMYFUNCTION("""COMPUTED_VALUE"""),"ข้อ 34 Pharma Plus เล่มม่วง (เฉลยข้อ จ)")</f>
        <v>ข้อ 34 Pharma Plus เล่มม่วง (เฉลยข้อ จ)</v>
      </c>
      <c r="O100" s="2" t="str">
        <f ca="1">IFERROR(__xludf.DUMMYFUNCTION("""COMPUTED_VALUE"""),"Mock")</f>
        <v>Mock</v>
      </c>
      <c r="P100" s="2" t="str">
        <f ca="1">IFERROR(__xludf.DUMMYFUNCTION("""COMPUTED_VALUE"""),"Pharma Plus เล่มม่วง")</f>
        <v>Pharma Plus เล่มม่วง</v>
      </c>
    </row>
    <row r="101" spans="1:16" ht="13.2" customHeight="1" x14ac:dyDescent="0.25">
      <c r="A101" s="2" t="str">
        <f ca="1">IFERROR(__xludf.DUMMYFUNCTION("""COMPUTED_VALUE"""),"35")</f>
        <v>35</v>
      </c>
      <c r="B101" s="2" t="str">
        <f ca="1">IFERROR(__xludf.DUMMYFUNCTION("""COMPUTED_VALUE"""),"จากโครงสร้างของยา 3 ชนิด (methimazole, carbimazole และ propylthiouracil)
ข้อใดถูกต้องเกี่ยวกับยา methimazole, carbimazole และ propylthiouracil")</f>
        <v>จากโครงสร้างของยา 3 ชนิด (methimazole, carbimazole และ propylthiouracil)
ข้อใดถูกต้องเกี่ยวกับยา methimazole, carbimazole และ propylthiouracil</v>
      </c>
      <c r="C101" s="2"/>
      <c r="D101" s="2" t="str">
        <f ca="1">IFERROR(__xludf.DUMMYFUNCTION("""COMPUTED_VALUE"""),"Methimazole, carbimazole และ propylthiouracil ถูก metabolized โดยปฏิกิริยา desulfunation ก่อนจึงจะได้สารที่มีฤทธิ์ทางเภสัชวิทยา")</f>
        <v>Methimazole, carbimazole และ propylthiouracil ถูก metabolized โดยปฏิกิริยา desulfunation ก่อนจึงจะได้สารที่มีฤทธิ์ทางเภสัชวิทยา</v>
      </c>
      <c r="E101" s="2" t="str">
        <f ca="1">IFERROR(__xludf.DUMMYFUNCTION("""COMPUTED_VALUE"""),"Propylthiouracil จะถูก metabolized โดยปฏิกิริยา dealkylation ซึ่งจะตัด Propyl group ออกก่อนจึงจะได้สารที่มีฤทธิ์ทางเภสัชวิทยา")</f>
        <v>Propylthiouracil จะถูก metabolized โดยปฏิกิริยา dealkylation ซึ่งจะตัด Propyl group ออกก่อนจึงจะได้สารที่มีฤทธิ์ทางเภสัชวิทยา</v>
      </c>
      <c r="F101" s="2" t="str">
        <f ca="1">IFERROR(__xludf.DUMMYFUNCTION("""COMPUTED_VALUE"""),"Methimazole จะถูก metabolized โดยปฏิกิริยา conjugation ได้เป็น carbimazole จึงจะได้สารที่มีฤทธิ์ทางเภสัชวิทยาที่ต้องการ")</f>
        <v>Methimazole จะถูก metabolized โดยปฏิกิริยา conjugation ได้เป็น carbimazole จึงจะได้สารที่มีฤทธิ์ทางเภสัชวิทยาที่ต้องการ</v>
      </c>
      <c r="G101" s="2" t="str">
        <f ca="1">IFERROR(__xludf.DUMMYFUNCTION("""COMPUTED_VALUE"""),"ต้องเกิดปฏิกิริยา amide hydrolysis กับโครงสร้าง carbimazole จึงจะได้สารที่มีฤทธิ์ทางเภสัชวิทยาที่ต้องการ")</f>
        <v>ต้องเกิดปฏิกิริยา amide hydrolysis กับโครงสร้าง carbimazole จึงจะได้สารที่มีฤทธิ์ทางเภสัชวิทยาที่ต้องการ</v>
      </c>
      <c r="H101" s="2" t="str">
        <f ca="1">IFERROR(__xludf.DUMMYFUNCTION("""COMPUTED_VALUE"""),"ต้องเกิดปฏิกิริยา ester hydrolysis กับโครงสร้าง carbimazole จึงจะได้สารที่มีฤทธิ์ทางเภสัชวิทยาที่ต้องการ")</f>
        <v>ต้องเกิดปฏิกิริยา ester hydrolysis กับโครงสร้าง carbimazole จึงจะได้สารที่มีฤทธิ์ทางเภสัชวิทยาที่ต้องการ</v>
      </c>
      <c r="I101" s="2" t="str">
        <f ca="1">IFERROR(__xludf.DUMMYFUNCTION("""COMPUTED_VALUE"""),"4")</f>
        <v>4</v>
      </c>
      <c r="J101" s="2" t="str">
        <f ca="1">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v>
      </c>
      <c r="K101" s="2"/>
      <c r="L101" s="2" t="str">
        <f ca="1">IFERROR(__xludf.DUMMYFUNCTION("""COMPUTED_VALUE"""),"SAR &amp; Drug Design")</f>
        <v>SAR &amp; Drug Design</v>
      </c>
      <c r="M101" s="2" t="str">
        <f ca="1">IFERROR(__xludf.DUMMYFUNCTION("""COMPUTED_VALUE"""),"Product")</f>
        <v>Product</v>
      </c>
      <c r="N101" s="2" t="str">
        <f ca="1">IFERROR(__xludf.DUMMYFUNCTION("""COMPUTED_VALUE"""),"ข้อ 35 Pharma Plus เล่มม่วง (เฉลยข้อ ง)")</f>
        <v>ข้อ 35 Pharma Plus เล่มม่วง (เฉลยข้อ ง)</v>
      </c>
      <c r="O101" s="2" t="str">
        <f ca="1">IFERROR(__xludf.DUMMYFUNCTION("""COMPUTED_VALUE"""),"Mock")</f>
        <v>Mock</v>
      </c>
      <c r="P101" s="2" t="str">
        <f ca="1">IFERROR(__xludf.DUMMYFUNCTION("""COMPUTED_VALUE"""),"Pharma Plus เล่มม่วง")</f>
        <v>Pharma Plus เล่มม่วง</v>
      </c>
    </row>
  </sheetData>
  <mergeCells count="1">
    <mergeCell ref="A1:Q1"/>
  </mergeCells>
  <dataValidations count="3">
    <dataValidation type="list" allowBlank="1" sqref="C3" xr:uid="{00000000-0002-0000-0300-000000000000}">
      <formula1>"ทั้งหมด,ชุด 1,2567,2566,2565,2558"</formula1>
    </dataValidation>
    <dataValidation type="list" allowBlank="1" showErrorMessage="1" sqref="D3" xr:uid="{00000000-0002-0000-0300-000001000000}">
      <formula1>"ทั้งหมด,Clinic,Product,SAP"</formula1>
    </dataValidation>
    <dataValidation type="list" allowBlank="1" showErrorMessage="1" sqref="B3" xr:uid="{00000000-0002-0000-0300-000002000000}">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226"/>
  <sheetViews>
    <sheetView zoomScale="70" workbookViewId="0">
      <pane ySplit="2" topLeftCell="A219" activePane="bottomLeft" state="frozen"/>
      <selection activeCell="D10" sqref="D10"/>
      <selection pane="bottomLeft" activeCell="A3" sqref="A3:P226"/>
    </sheetView>
  </sheetViews>
  <sheetFormatPr defaultColWidth="12.6640625" defaultRowHeight="15.75" customHeight="1" x14ac:dyDescent="0.25"/>
  <cols>
    <col min="1" max="1" width="8.44140625" customWidth="1"/>
    <col min="2" max="2" width="56.44140625" customWidth="1"/>
    <col min="8" max="8" width="13.77734375" customWidth="1"/>
    <col min="9" max="9" width="13.33203125" customWidth="1"/>
    <col min="10" max="10" width="60.109375" customWidth="1"/>
    <col min="15" max="15" width="26.109375" customWidth="1"/>
    <col min="16" max="16" width="16.44140625" customWidth="1"/>
  </cols>
  <sheetData>
    <row r="1" spans="1:16" ht="26.25" customHeight="1" x14ac:dyDescent="0.25">
      <c r="A1" s="31" t="str">
        <f>HYPERLINK("#gid=0", "🏠 กลับสู่หน้าแรก (Go to Home Page)")</f>
        <v>🏠 กลับสู่หน้าแรก (Go to Home Page)</v>
      </c>
      <c r="B1" s="32"/>
      <c r="C1" s="32"/>
      <c r="D1" s="32"/>
      <c r="E1" s="32"/>
      <c r="F1" s="32"/>
      <c r="G1" s="32"/>
      <c r="H1" s="32"/>
      <c r="I1" s="32"/>
      <c r="J1" s="32"/>
      <c r="K1" s="32"/>
      <c r="L1" s="32"/>
      <c r="M1" s="32"/>
      <c r="N1" s="32"/>
      <c r="O1" s="32"/>
      <c r="P1" s="32"/>
    </row>
    <row r="2" spans="1:16" ht="64.8" customHeight="1" x14ac:dyDescent="0.25">
      <c r="A2" s="11" t="s">
        <v>10</v>
      </c>
      <c r="B2" s="11" t="s">
        <v>11</v>
      </c>
      <c r="C2" s="11" t="s">
        <v>12</v>
      </c>
      <c r="D2" s="11" t="s">
        <v>13</v>
      </c>
      <c r="E2" s="11" t="s">
        <v>14</v>
      </c>
      <c r="F2" s="11" t="s">
        <v>15</v>
      </c>
      <c r="G2" s="11" t="s">
        <v>16</v>
      </c>
      <c r="H2" s="11" t="s">
        <v>17</v>
      </c>
      <c r="I2" s="11" t="s">
        <v>154</v>
      </c>
      <c r="J2" s="11" t="s">
        <v>19</v>
      </c>
      <c r="K2" s="11" t="s">
        <v>20</v>
      </c>
      <c r="L2" s="11" t="s">
        <v>81</v>
      </c>
      <c r="M2" s="11" t="s">
        <v>155</v>
      </c>
      <c r="N2" s="11" t="s">
        <v>23</v>
      </c>
      <c r="O2" s="10" t="s">
        <v>24</v>
      </c>
      <c r="P2" s="10" t="s">
        <v>25</v>
      </c>
    </row>
    <row r="3" spans="1:16" ht="409.6" customHeight="1" x14ac:dyDescent="0.25">
      <c r="A3" s="32">
        <v>1</v>
      </c>
      <c r="B3" s="32" t="s">
        <v>156</v>
      </c>
      <c r="C3" s="32"/>
      <c r="D3" s="32" t="s">
        <v>157</v>
      </c>
      <c r="E3" s="32" t="s">
        <v>158</v>
      </c>
      <c r="F3" s="32" t="s">
        <v>159</v>
      </c>
      <c r="G3" s="32" t="s">
        <v>160</v>
      </c>
      <c r="H3" s="32" t="s">
        <v>161</v>
      </c>
      <c r="I3" s="32">
        <v>2</v>
      </c>
      <c r="J3" s="32" t="s">
        <v>162</v>
      </c>
      <c r="K3" s="32"/>
      <c r="L3" s="32" t="s">
        <v>92</v>
      </c>
      <c r="M3" s="32" t="s">
        <v>29</v>
      </c>
      <c r="N3" s="32" t="s">
        <v>163</v>
      </c>
      <c r="O3" s="32" t="s">
        <v>164</v>
      </c>
      <c r="P3" s="32" t="s">
        <v>165</v>
      </c>
    </row>
    <row r="4" spans="1:16" ht="409.6" customHeight="1" x14ac:dyDescent="0.25">
      <c r="A4" s="32">
        <v>2</v>
      </c>
      <c r="B4" s="32" t="s">
        <v>166</v>
      </c>
      <c r="C4" s="32"/>
      <c r="D4" s="32" t="s">
        <v>167</v>
      </c>
      <c r="E4" s="32" t="s">
        <v>168</v>
      </c>
      <c r="F4" s="32" t="s">
        <v>169</v>
      </c>
      <c r="G4" s="32" t="s">
        <v>170</v>
      </c>
      <c r="H4" s="32" t="s">
        <v>171</v>
      </c>
      <c r="I4" s="32">
        <v>4</v>
      </c>
      <c r="J4" s="32" t="s">
        <v>172</v>
      </c>
      <c r="K4" s="32"/>
      <c r="L4" s="32" t="s">
        <v>92</v>
      </c>
      <c r="M4" s="32" t="s">
        <v>29</v>
      </c>
      <c r="N4" s="32" t="s">
        <v>173</v>
      </c>
      <c r="O4" s="32" t="s">
        <v>164</v>
      </c>
      <c r="P4" s="32" t="s">
        <v>165</v>
      </c>
    </row>
    <row r="5" spans="1:16" ht="409.6" customHeight="1" x14ac:dyDescent="0.25">
      <c r="A5" s="32">
        <v>3</v>
      </c>
      <c r="B5" s="32" t="s">
        <v>174</v>
      </c>
      <c r="C5" s="32"/>
      <c r="D5" s="32" t="s">
        <v>175</v>
      </c>
      <c r="E5" s="32" t="s">
        <v>176</v>
      </c>
      <c r="F5" s="32" t="s">
        <v>177</v>
      </c>
      <c r="G5" s="32" t="s">
        <v>178</v>
      </c>
      <c r="H5" s="32" t="s">
        <v>179</v>
      </c>
      <c r="I5" s="32">
        <v>3</v>
      </c>
      <c r="J5" s="32" t="s">
        <v>180</v>
      </c>
      <c r="K5" s="32"/>
      <c r="L5" s="32" t="s">
        <v>92</v>
      </c>
      <c r="M5" s="32" t="s">
        <v>29</v>
      </c>
      <c r="N5" s="32" t="s">
        <v>181</v>
      </c>
      <c r="O5" s="32" t="s">
        <v>164</v>
      </c>
      <c r="P5" s="32" t="s">
        <v>165</v>
      </c>
    </row>
    <row r="6" spans="1:16" ht="409.6" customHeight="1" x14ac:dyDescent="0.25">
      <c r="A6" s="32">
        <v>4</v>
      </c>
      <c r="B6" s="32" t="s">
        <v>182</v>
      </c>
      <c r="C6" s="32"/>
      <c r="D6" s="32" t="s">
        <v>161</v>
      </c>
      <c r="E6" s="32" t="s">
        <v>183</v>
      </c>
      <c r="F6" s="32" t="s">
        <v>184</v>
      </c>
      <c r="G6" s="32" t="s">
        <v>160</v>
      </c>
      <c r="H6" s="32" t="s">
        <v>185</v>
      </c>
      <c r="I6" s="32">
        <v>1</v>
      </c>
      <c r="J6" s="32" t="s">
        <v>186</v>
      </c>
      <c r="K6" s="32"/>
      <c r="L6" s="32" t="s">
        <v>92</v>
      </c>
      <c r="M6" s="32" t="s">
        <v>29</v>
      </c>
      <c r="N6" s="32" t="s">
        <v>187</v>
      </c>
      <c r="O6" s="32" t="s">
        <v>164</v>
      </c>
      <c r="P6" s="32" t="s">
        <v>165</v>
      </c>
    </row>
    <row r="7" spans="1:16" ht="409.6" customHeight="1" x14ac:dyDescent="0.25">
      <c r="A7" s="32">
        <v>5</v>
      </c>
      <c r="B7" s="32" t="s">
        <v>188</v>
      </c>
      <c r="C7" s="32"/>
      <c r="D7" s="32" t="s">
        <v>189</v>
      </c>
      <c r="E7" s="32" t="s">
        <v>190</v>
      </c>
      <c r="F7" s="32" t="s">
        <v>191</v>
      </c>
      <c r="G7" s="32" t="s">
        <v>92</v>
      </c>
      <c r="H7" s="32" t="s">
        <v>192</v>
      </c>
      <c r="I7" s="32">
        <v>1</v>
      </c>
      <c r="J7" s="32" t="s">
        <v>193</v>
      </c>
      <c r="K7" s="32"/>
      <c r="L7" s="32" t="s">
        <v>189</v>
      </c>
      <c r="M7" s="32" t="s">
        <v>29</v>
      </c>
      <c r="N7" s="32" t="s">
        <v>194</v>
      </c>
      <c r="O7" s="32" t="s">
        <v>164</v>
      </c>
      <c r="P7" s="32" t="s">
        <v>165</v>
      </c>
    </row>
    <row r="8" spans="1:16" ht="409.6" customHeight="1" x14ac:dyDescent="0.25">
      <c r="A8" s="32">
        <v>6</v>
      </c>
      <c r="B8" s="32" t="s">
        <v>195</v>
      </c>
      <c r="C8" s="32"/>
      <c r="D8" s="32" t="s">
        <v>196</v>
      </c>
      <c r="E8" s="32" t="s">
        <v>197</v>
      </c>
      <c r="F8" s="32" t="s">
        <v>198</v>
      </c>
      <c r="G8" s="32" t="s">
        <v>199</v>
      </c>
      <c r="H8" s="32" t="s">
        <v>200</v>
      </c>
      <c r="I8" s="32">
        <v>5</v>
      </c>
      <c r="J8" s="32" t="s">
        <v>201</v>
      </c>
      <c r="K8" s="32"/>
      <c r="L8" s="32" t="s">
        <v>189</v>
      </c>
      <c r="M8" s="32" t="s">
        <v>29</v>
      </c>
      <c r="N8" s="32" t="s">
        <v>202</v>
      </c>
      <c r="O8" s="32" t="s">
        <v>164</v>
      </c>
      <c r="P8" s="32" t="s">
        <v>165</v>
      </c>
    </row>
    <row r="9" spans="1:16" ht="409.6" customHeight="1" x14ac:dyDescent="0.25">
      <c r="A9" s="32">
        <v>7</v>
      </c>
      <c r="B9" s="32" t="s">
        <v>203</v>
      </c>
      <c r="C9" s="32"/>
      <c r="D9" s="32" t="s">
        <v>204</v>
      </c>
      <c r="E9" s="32" t="s">
        <v>205</v>
      </c>
      <c r="F9" s="32" t="s">
        <v>206</v>
      </c>
      <c r="G9" s="32" t="s">
        <v>207</v>
      </c>
      <c r="H9" s="32" t="s">
        <v>208</v>
      </c>
      <c r="I9" s="32">
        <v>4</v>
      </c>
      <c r="J9" s="32" t="s">
        <v>209</v>
      </c>
      <c r="K9" s="32"/>
      <c r="L9" s="32" t="s">
        <v>92</v>
      </c>
      <c r="M9" s="32" t="s">
        <v>29</v>
      </c>
      <c r="N9" s="32" t="s">
        <v>210</v>
      </c>
      <c r="O9" s="32" t="s">
        <v>164</v>
      </c>
      <c r="P9" s="32" t="s">
        <v>165</v>
      </c>
    </row>
    <row r="10" spans="1:16" ht="409.6" customHeight="1" x14ac:dyDescent="0.25">
      <c r="A10" s="32">
        <v>8</v>
      </c>
      <c r="B10" s="32" t="s">
        <v>211</v>
      </c>
      <c r="C10" s="32"/>
      <c r="D10" s="32" t="s">
        <v>212</v>
      </c>
      <c r="E10" s="32" t="s">
        <v>213</v>
      </c>
      <c r="F10" s="32" t="s">
        <v>214</v>
      </c>
      <c r="G10" s="32" t="s">
        <v>215</v>
      </c>
      <c r="H10" s="32" t="s">
        <v>216</v>
      </c>
      <c r="I10" s="32">
        <v>1</v>
      </c>
      <c r="J10" s="32" t="s">
        <v>217</v>
      </c>
      <c r="K10" s="32"/>
      <c r="L10" s="32" t="s">
        <v>92</v>
      </c>
      <c r="M10" s="32" t="s">
        <v>29</v>
      </c>
      <c r="N10" s="32" t="s">
        <v>218</v>
      </c>
      <c r="O10" s="32" t="s">
        <v>164</v>
      </c>
      <c r="P10" s="32" t="s">
        <v>165</v>
      </c>
    </row>
    <row r="11" spans="1:16" ht="409.6" customHeight="1" x14ac:dyDescent="0.25">
      <c r="A11" s="32">
        <v>9</v>
      </c>
      <c r="B11" s="32" t="s">
        <v>219</v>
      </c>
      <c r="C11" s="32"/>
      <c r="D11" s="32" t="s">
        <v>197</v>
      </c>
      <c r="E11" s="32" t="s">
        <v>200</v>
      </c>
      <c r="F11" s="32" t="s">
        <v>199</v>
      </c>
      <c r="G11" s="32" t="s">
        <v>220</v>
      </c>
      <c r="H11" s="32" t="s">
        <v>221</v>
      </c>
      <c r="I11" s="32">
        <v>2</v>
      </c>
      <c r="J11" s="32" t="s">
        <v>222</v>
      </c>
      <c r="K11" s="32"/>
      <c r="L11" s="32" t="s">
        <v>189</v>
      </c>
      <c r="M11" s="32" t="s">
        <v>29</v>
      </c>
      <c r="N11" s="32" t="s">
        <v>223</v>
      </c>
      <c r="O11" s="32" t="s">
        <v>164</v>
      </c>
      <c r="P11" s="32" t="s">
        <v>224</v>
      </c>
    </row>
    <row r="12" spans="1:16" ht="409.6" customHeight="1" x14ac:dyDescent="0.25">
      <c r="A12" s="32">
        <v>10</v>
      </c>
      <c r="B12" s="32" t="s">
        <v>225</v>
      </c>
      <c r="C12" s="32"/>
      <c r="D12" s="32" t="s">
        <v>177</v>
      </c>
      <c r="E12" s="32" t="s">
        <v>226</v>
      </c>
      <c r="F12" s="32" t="s">
        <v>227</v>
      </c>
      <c r="G12" s="32" t="s">
        <v>228</v>
      </c>
      <c r="H12" s="32" t="s">
        <v>178</v>
      </c>
      <c r="I12" s="32">
        <v>1</v>
      </c>
      <c r="J12" s="32" t="s">
        <v>229</v>
      </c>
      <c r="K12" s="32"/>
      <c r="L12" s="32" t="s">
        <v>92</v>
      </c>
      <c r="M12" s="32" t="s">
        <v>29</v>
      </c>
      <c r="N12" s="32" t="s">
        <v>230</v>
      </c>
      <c r="O12" s="32" t="s">
        <v>164</v>
      </c>
      <c r="P12" s="32" t="s">
        <v>224</v>
      </c>
    </row>
    <row r="13" spans="1:16" ht="409.6" customHeight="1" x14ac:dyDescent="0.25">
      <c r="A13" s="32">
        <v>11</v>
      </c>
      <c r="B13" s="32" t="s">
        <v>231</v>
      </c>
      <c r="C13" s="32"/>
      <c r="D13" s="32" t="s">
        <v>232</v>
      </c>
      <c r="E13" s="32" t="s">
        <v>233</v>
      </c>
      <c r="F13" s="32" t="s">
        <v>234</v>
      </c>
      <c r="G13" s="32" t="s">
        <v>235</v>
      </c>
      <c r="H13" s="32" t="s">
        <v>236</v>
      </c>
      <c r="I13" s="32">
        <v>4</v>
      </c>
      <c r="J13" s="32" t="s">
        <v>237</v>
      </c>
      <c r="K13" s="32"/>
      <c r="L13" s="32" t="s">
        <v>191</v>
      </c>
      <c r="M13" s="32" t="s">
        <v>29</v>
      </c>
      <c r="N13" s="32" t="s">
        <v>238</v>
      </c>
      <c r="O13" s="32" t="s">
        <v>164</v>
      </c>
      <c r="P13" s="32" t="s">
        <v>224</v>
      </c>
    </row>
    <row r="14" spans="1:16" ht="409.6" customHeight="1" x14ac:dyDescent="0.25">
      <c r="A14" s="32">
        <v>12</v>
      </c>
      <c r="B14" s="32" t="s">
        <v>239</v>
      </c>
      <c r="C14" s="32"/>
      <c r="D14" s="32" t="s">
        <v>240</v>
      </c>
      <c r="E14" s="32" t="s">
        <v>241</v>
      </c>
      <c r="F14" s="32" t="s">
        <v>242</v>
      </c>
      <c r="G14" s="32" t="s">
        <v>243</v>
      </c>
      <c r="H14" s="32" t="s">
        <v>244</v>
      </c>
      <c r="I14" s="32">
        <v>3</v>
      </c>
      <c r="J14" s="32" t="s">
        <v>245</v>
      </c>
      <c r="K14" s="32"/>
      <c r="L14" s="32" t="s">
        <v>92</v>
      </c>
      <c r="M14" s="32" t="s">
        <v>29</v>
      </c>
      <c r="N14" s="32" t="s">
        <v>246</v>
      </c>
      <c r="O14" s="32" t="s">
        <v>164</v>
      </c>
      <c r="P14" s="32" t="s">
        <v>224</v>
      </c>
    </row>
    <row r="15" spans="1:16" ht="409.6" customHeight="1" x14ac:dyDescent="0.25">
      <c r="A15" s="32">
        <v>13</v>
      </c>
      <c r="B15" s="32" t="s">
        <v>247</v>
      </c>
      <c r="C15" s="32"/>
      <c r="D15" s="32" t="s">
        <v>248</v>
      </c>
      <c r="E15" s="32" t="s">
        <v>249</v>
      </c>
      <c r="F15" s="32" t="s">
        <v>250</v>
      </c>
      <c r="G15" s="32" t="s">
        <v>251</v>
      </c>
      <c r="H15" s="32" t="s">
        <v>252</v>
      </c>
      <c r="I15" s="32">
        <v>5</v>
      </c>
      <c r="J15" s="32" t="s">
        <v>253</v>
      </c>
      <c r="K15" s="32"/>
      <c r="L15" s="32" t="s">
        <v>191</v>
      </c>
      <c r="M15" s="32" t="s">
        <v>29</v>
      </c>
      <c r="N15" s="32" t="s">
        <v>254</v>
      </c>
      <c r="O15" s="32" t="s">
        <v>164</v>
      </c>
      <c r="P15" s="32" t="s">
        <v>224</v>
      </c>
    </row>
    <row r="16" spans="1:16" ht="409.6" customHeight="1" x14ac:dyDescent="0.25">
      <c r="A16" s="32">
        <v>14</v>
      </c>
      <c r="B16" s="32" t="s">
        <v>255</v>
      </c>
      <c r="C16" s="32"/>
      <c r="D16" s="32" t="s">
        <v>256</v>
      </c>
      <c r="E16" s="32" t="s">
        <v>257</v>
      </c>
      <c r="F16" s="32" t="s">
        <v>258</v>
      </c>
      <c r="G16" s="32" t="s">
        <v>259</v>
      </c>
      <c r="H16" s="32" t="s">
        <v>260</v>
      </c>
      <c r="I16" s="32">
        <v>4</v>
      </c>
      <c r="J16" s="32" t="s">
        <v>261</v>
      </c>
      <c r="K16" s="32"/>
      <c r="L16" s="32" t="s">
        <v>191</v>
      </c>
      <c r="M16" s="32" t="s">
        <v>29</v>
      </c>
      <c r="N16" s="32" t="s">
        <v>262</v>
      </c>
      <c r="O16" s="32" t="s">
        <v>164</v>
      </c>
      <c r="P16" s="32" t="s">
        <v>224</v>
      </c>
    </row>
    <row r="17" spans="1:16" ht="409.6" customHeight="1" x14ac:dyDescent="0.25">
      <c r="A17" s="32">
        <v>15</v>
      </c>
      <c r="B17" s="32" t="s">
        <v>263</v>
      </c>
      <c r="C17" s="32"/>
      <c r="D17" s="32" t="s">
        <v>264</v>
      </c>
      <c r="E17" s="32" t="s">
        <v>265</v>
      </c>
      <c r="F17" s="32" t="s">
        <v>266</v>
      </c>
      <c r="G17" s="32" t="s">
        <v>235</v>
      </c>
      <c r="H17" s="32" t="s">
        <v>267</v>
      </c>
      <c r="I17" s="32">
        <v>5</v>
      </c>
      <c r="J17" s="32" t="s">
        <v>268</v>
      </c>
      <c r="K17" s="32"/>
      <c r="L17" s="32" t="s">
        <v>191</v>
      </c>
      <c r="M17" s="32" t="s">
        <v>29</v>
      </c>
      <c r="N17" s="32" t="s">
        <v>269</v>
      </c>
      <c r="O17" s="32" t="s">
        <v>164</v>
      </c>
      <c r="P17" s="32" t="s">
        <v>224</v>
      </c>
    </row>
    <row r="18" spans="1:16" ht="409.6" customHeight="1" x14ac:dyDescent="0.25">
      <c r="A18" s="32">
        <v>16</v>
      </c>
      <c r="B18" s="32" t="s">
        <v>270</v>
      </c>
      <c r="C18" s="32"/>
      <c r="D18" s="32" t="s">
        <v>190</v>
      </c>
      <c r="E18" s="32" t="s">
        <v>191</v>
      </c>
      <c r="F18" s="32" t="s">
        <v>92</v>
      </c>
      <c r="G18" s="32" t="s">
        <v>189</v>
      </c>
      <c r="H18" s="32" t="s">
        <v>271</v>
      </c>
      <c r="I18" s="32">
        <v>4</v>
      </c>
      <c r="J18" s="32" t="s">
        <v>272</v>
      </c>
      <c r="K18" s="32"/>
      <c r="L18" s="32" t="s">
        <v>189</v>
      </c>
      <c r="M18" s="32" t="s">
        <v>29</v>
      </c>
      <c r="N18" s="32" t="s">
        <v>273</v>
      </c>
      <c r="O18" s="32" t="s">
        <v>164</v>
      </c>
      <c r="P18" s="32" t="s">
        <v>224</v>
      </c>
    </row>
    <row r="19" spans="1:16" ht="409.6" customHeight="1" x14ac:dyDescent="0.25">
      <c r="A19" s="32">
        <v>17</v>
      </c>
      <c r="B19" s="32" t="s">
        <v>274</v>
      </c>
      <c r="C19" s="32"/>
      <c r="D19" s="32" t="s">
        <v>275</v>
      </c>
      <c r="E19" s="32" t="s">
        <v>276</v>
      </c>
      <c r="F19" s="32" t="s">
        <v>277</v>
      </c>
      <c r="G19" s="32" t="s">
        <v>157</v>
      </c>
      <c r="H19" s="32" t="s">
        <v>278</v>
      </c>
      <c r="I19" s="32">
        <v>1</v>
      </c>
      <c r="J19" s="32" t="s">
        <v>279</v>
      </c>
      <c r="K19" s="32"/>
      <c r="L19" s="32" t="s">
        <v>189</v>
      </c>
      <c r="M19" s="32" t="s">
        <v>29</v>
      </c>
      <c r="N19" s="32" t="s">
        <v>280</v>
      </c>
      <c r="O19" s="32" t="s">
        <v>164</v>
      </c>
      <c r="P19" s="32"/>
    </row>
    <row r="20" spans="1:16" ht="409.6" customHeight="1" x14ac:dyDescent="0.25">
      <c r="A20" s="32">
        <v>18</v>
      </c>
      <c r="B20" s="32" t="s">
        <v>281</v>
      </c>
      <c r="C20" s="32"/>
      <c r="D20" s="32" t="s">
        <v>282</v>
      </c>
      <c r="E20" s="32" t="s">
        <v>157</v>
      </c>
      <c r="F20" s="32" t="s">
        <v>283</v>
      </c>
      <c r="G20" s="32" t="s">
        <v>284</v>
      </c>
      <c r="H20" s="32" t="s">
        <v>285</v>
      </c>
      <c r="I20" s="32">
        <v>4</v>
      </c>
      <c r="J20" s="32" t="s">
        <v>286</v>
      </c>
      <c r="K20" s="32"/>
      <c r="L20" s="32" t="s">
        <v>287</v>
      </c>
      <c r="M20" s="32" t="s">
        <v>29</v>
      </c>
      <c r="N20" s="32" t="s">
        <v>288</v>
      </c>
      <c r="O20" s="32" t="s">
        <v>164</v>
      </c>
      <c r="P20" s="32"/>
    </row>
    <row r="21" spans="1:16" ht="409.6" customHeight="1" x14ac:dyDescent="0.25">
      <c r="A21" s="32">
        <v>19</v>
      </c>
      <c r="B21" s="32" t="s">
        <v>289</v>
      </c>
      <c r="C21" s="32"/>
      <c r="D21" s="32" t="s">
        <v>290</v>
      </c>
      <c r="E21" s="32" t="s">
        <v>291</v>
      </c>
      <c r="F21" s="32" t="s">
        <v>175</v>
      </c>
      <c r="G21" s="32" t="s">
        <v>292</v>
      </c>
      <c r="H21" s="32" t="s">
        <v>293</v>
      </c>
      <c r="I21" s="32">
        <v>4</v>
      </c>
      <c r="J21" s="32" t="s">
        <v>294</v>
      </c>
      <c r="K21" s="32"/>
      <c r="L21" s="32" t="s">
        <v>92</v>
      </c>
      <c r="M21" s="32" t="s">
        <v>29</v>
      </c>
      <c r="N21" s="32" t="s">
        <v>295</v>
      </c>
      <c r="O21" s="32" t="s">
        <v>164</v>
      </c>
      <c r="P21" s="32" t="s">
        <v>224</v>
      </c>
    </row>
    <row r="22" spans="1:16" ht="409.6" customHeight="1" x14ac:dyDescent="0.25">
      <c r="A22" s="32">
        <v>20</v>
      </c>
      <c r="B22" s="32" t="s">
        <v>296</v>
      </c>
      <c r="C22" s="32"/>
      <c r="D22" s="32" t="s">
        <v>297</v>
      </c>
      <c r="E22" s="32" t="s">
        <v>298</v>
      </c>
      <c r="F22" s="32" t="s">
        <v>299</v>
      </c>
      <c r="G22" s="32" t="s">
        <v>300</v>
      </c>
      <c r="H22" s="32" t="s">
        <v>301</v>
      </c>
      <c r="I22" s="32">
        <v>2</v>
      </c>
      <c r="J22" s="32" t="s">
        <v>302</v>
      </c>
      <c r="K22" s="32"/>
      <c r="L22" s="32" t="s">
        <v>92</v>
      </c>
      <c r="M22" s="32" t="s">
        <v>29</v>
      </c>
      <c r="N22" s="32" t="s">
        <v>303</v>
      </c>
      <c r="O22" s="32" t="s">
        <v>164</v>
      </c>
      <c r="P22" s="32" t="s">
        <v>224</v>
      </c>
    </row>
    <row r="23" spans="1:16" ht="409.6" customHeight="1" x14ac:dyDescent="0.25">
      <c r="A23" s="32">
        <v>21</v>
      </c>
      <c r="B23" s="32" t="s">
        <v>304</v>
      </c>
      <c r="C23" s="32"/>
      <c r="D23" s="32" t="s">
        <v>305</v>
      </c>
      <c r="E23" s="32" t="s">
        <v>306</v>
      </c>
      <c r="F23" s="32" t="s">
        <v>307</v>
      </c>
      <c r="G23" s="32" t="s">
        <v>207</v>
      </c>
      <c r="H23" s="32" t="s">
        <v>308</v>
      </c>
      <c r="I23" s="32">
        <v>4</v>
      </c>
      <c r="J23" s="32" t="s">
        <v>309</v>
      </c>
      <c r="K23" s="32"/>
      <c r="L23" s="32" t="s">
        <v>92</v>
      </c>
      <c r="M23" s="32" t="s">
        <v>29</v>
      </c>
      <c r="N23" s="32" t="s">
        <v>310</v>
      </c>
      <c r="O23" s="32" t="s">
        <v>164</v>
      </c>
      <c r="P23" s="32" t="s">
        <v>224</v>
      </c>
    </row>
    <row r="24" spans="1:16" ht="409.6" customHeight="1" x14ac:dyDescent="0.25">
      <c r="A24" s="32">
        <v>22</v>
      </c>
      <c r="B24" s="32" t="s">
        <v>311</v>
      </c>
      <c r="C24" s="32"/>
      <c r="D24" s="32" t="s">
        <v>161</v>
      </c>
      <c r="E24" s="32" t="s">
        <v>312</v>
      </c>
      <c r="F24" s="32" t="s">
        <v>313</v>
      </c>
      <c r="G24" s="32" t="s">
        <v>160</v>
      </c>
      <c r="H24" s="32" t="s">
        <v>184</v>
      </c>
      <c r="I24" s="32">
        <v>2</v>
      </c>
      <c r="J24" s="32" t="s">
        <v>314</v>
      </c>
      <c r="K24" s="32"/>
      <c r="L24" s="32" t="s">
        <v>92</v>
      </c>
      <c r="M24" s="32" t="s">
        <v>29</v>
      </c>
      <c r="N24" s="32" t="s">
        <v>315</v>
      </c>
      <c r="O24" s="32" t="s">
        <v>164</v>
      </c>
      <c r="P24" s="32" t="s">
        <v>316</v>
      </c>
    </row>
    <row r="25" spans="1:16" ht="409.6" customHeight="1" x14ac:dyDescent="0.25">
      <c r="A25" s="32">
        <v>23</v>
      </c>
      <c r="B25" s="32" t="s">
        <v>317</v>
      </c>
      <c r="C25" s="32"/>
      <c r="D25" s="32" t="s">
        <v>161</v>
      </c>
      <c r="E25" s="32" t="s">
        <v>183</v>
      </c>
      <c r="F25" s="32" t="s">
        <v>184</v>
      </c>
      <c r="G25" s="32" t="s">
        <v>185</v>
      </c>
      <c r="H25" s="32" t="s">
        <v>160</v>
      </c>
      <c r="I25" s="32">
        <v>1</v>
      </c>
      <c r="J25" s="32" t="s">
        <v>318</v>
      </c>
      <c r="K25" s="32"/>
      <c r="L25" s="32" t="s">
        <v>92</v>
      </c>
      <c r="M25" s="32" t="s">
        <v>29</v>
      </c>
      <c r="N25" s="32" t="s">
        <v>319</v>
      </c>
      <c r="O25" s="32" t="s">
        <v>164</v>
      </c>
      <c r="P25" s="32" t="s">
        <v>316</v>
      </c>
    </row>
    <row r="26" spans="1:16" ht="409.6" customHeight="1" x14ac:dyDescent="0.25">
      <c r="A26" s="32">
        <v>24</v>
      </c>
      <c r="B26" s="32" t="s">
        <v>320</v>
      </c>
      <c r="C26" s="32"/>
      <c r="D26" s="32" t="s">
        <v>321</v>
      </c>
      <c r="E26" s="32" t="s">
        <v>322</v>
      </c>
      <c r="F26" s="32" t="s">
        <v>323</v>
      </c>
      <c r="G26" s="32" t="s">
        <v>324</v>
      </c>
      <c r="H26" s="32" t="s">
        <v>325</v>
      </c>
      <c r="I26" s="32">
        <v>5</v>
      </c>
      <c r="J26" s="32" t="s">
        <v>326</v>
      </c>
      <c r="K26" s="32"/>
      <c r="L26" s="32" t="s">
        <v>92</v>
      </c>
      <c r="M26" s="32" t="s">
        <v>29</v>
      </c>
      <c r="N26" s="32" t="s">
        <v>327</v>
      </c>
      <c r="O26" s="32" t="s">
        <v>164</v>
      </c>
      <c r="P26" s="32" t="s">
        <v>316</v>
      </c>
    </row>
    <row r="27" spans="1:16" ht="409.6" customHeight="1" x14ac:dyDescent="0.25">
      <c r="A27" s="32">
        <v>25</v>
      </c>
      <c r="B27" s="32" t="s">
        <v>328</v>
      </c>
      <c r="C27" s="32"/>
      <c r="D27" s="32" t="s">
        <v>329</v>
      </c>
      <c r="E27" s="32" t="s">
        <v>330</v>
      </c>
      <c r="F27" s="32" t="s">
        <v>331</v>
      </c>
      <c r="G27" s="32" t="s">
        <v>332</v>
      </c>
      <c r="H27" s="32" t="s">
        <v>333</v>
      </c>
      <c r="I27" s="32">
        <v>5</v>
      </c>
      <c r="J27" s="32" t="s">
        <v>334</v>
      </c>
      <c r="K27" s="32"/>
      <c r="L27" s="32" t="s">
        <v>92</v>
      </c>
      <c r="M27" s="32" t="s">
        <v>29</v>
      </c>
      <c r="N27" s="32" t="s">
        <v>335</v>
      </c>
      <c r="O27" s="32" t="s">
        <v>164</v>
      </c>
      <c r="P27" s="32" t="s">
        <v>316</v>
      </c>
    </row>
    <row r="28" spans="1:16" ht="409.6" customHeight="1" x14ac:dyDescent="0.25">
      <c r="A28" s="32">
        <v>26</v>
      </c>
      <c r="B28" s="32" t="s">
        <v>336</v>
      </c>
      <c r="C28" s="32"/>
      <c r="D28" s="32" t="s">
        <v>337</v>
      </c>
      <c r="E28" s="32" t="s">
        <v>338</v>
      </c>
      <c r="F28" s="32" t="s">
        <v>339</v>
      </c>
      <c r="G28" s="32" t="s">
        <v>340</v>
      </c>
      <c r="H28" s="32" t="s">
        <v>341</v>
      </c>
      <c r="I28" s="32">
        <v>4</v>
      </c>
      <c r="J28" s="32" t="s">
        <v>342</v>
      </c>
      <c r="K28" s="32"/>
      <c r="L28" s="32" t="s">
        <v>191</v>
      </c>
      <c r="M28" s="32" t="s">
        <v>29</v>
      </c>
      <c r="N28" s="32" t="s">
        <v>343</v>
      </c>
      <c r="O28" s="32" t="s">
        <v>164</v>
      </c>
      <c r="P28" s="32" t="s">
        <v>316</v>
      </c>
    </row>
    <row r="29" spans="1:16" ht="409.6" customHeight="1" x14ac:dyDescent="0.25">
      <c r="A29" s="32">
        <v>27</v>
      </c>
      <c r="B29" s="32" t="s">
        <v>344</v>
      </c>
      <c r="C29" s="32"/>
      <c r="D29" s="32" t="s">
        <v>345</v>
      </c>
      <c r="E29" s="32" t="s">
        <v>346</v>
      </c>
      <c r="F29" s="32" t="s">
        <v>347</v>
      </c>
      <c r="G29" s="32" t="s">
        <v>348</v>
      </c>
      <c r="H29" s="32" t="s">
        <v>349</v>
      </c>
      <c r="I29" s="32">
        <v>1</v>
      </c>
      <c r="J29" s="32" t="s">
        <v>350</v>
      </c>
      <c r="K29" s="32"/>
      <c r="L29" s="32" t="s">
        <v>287</v>
      </c>
      <c r="M29" s="32" t="s">
        <v>29</v>
      </c>
      <c r="N29" s="32" t="s">
        <v>351</v>
      </c>
      <c r="O29" s="32" t="s">
        <v>164</v>
      </c>
      <c r="P29" s="32" t="s">
        <v>316</v>
      </c>
    </row>
    <row r="30" spans="1:16" ht="409.6" customHeight="1" x14ac:dyDescent="0.25">
      <c r="A30" s="32">
        <v>28</v>
      </c>
      <c r="B30" s="32" t="s">
        <v>352</v>
      </c>
      <c r="C30" s="32"/>
      <c r="D30" s="32" t="s">
        <v>353</v>
      </c>
      <c r="E30" s="32" t="s">
        <v>354</v>
      </c>
      <c r="F30" s="32" t="s">
        <v>355</v>
      </c>
      <c r="G30" s="32" t="s">
        <v>356</v>
      </c>
      <c r="H30" s="32" t="s">
        <v>357</v>
      </c>
      <c r="I30" s="32">
        <v>1</v>
      </c>
      <c r="J30" s="32" t="s">
        <v>358</v>
      </c>
      <c r="K30" s="32"/>
      <c r="L30" s="32" t="s">
        <v>92</v>
      </c>
      <c r="M30" s="32" t="s">
        <v>29</v>
      </c>
      <c r="N30" s="32" t="s">
        <v>359</v>
      </c>
      <c r="O30" s="32" t="s">
        <v>164</v>
      </c>
      <c r="P30" s="32" t="s">
        <v>360</v>
      </c>
    </row>
    <row r="31" spans="1:16" ht="409.6" customHeight="1" x14ac:dyDescent="0.25">
      <c r="A31" s="32">
        <v>29</v>
      </c>
      <c r="B31" s="32" t="s">
        <v>361</v>
      </c>
      <c r="C31" s="32"/>
      <c r="D31" s="32" t="s">
        <v>158</v>
      </c>
      <c r="E31" s="32" t="s">
        <v>362</v>
      </c>
      <c r="F31" s="32" t="s">
        <v>161</v>
      </c>
      <c r="G31" s="32" t="s">
        <v>276</v>
      </c>
      <c r="H31" s="32" t="s">
        <v>363</v>
      </c>
      <c r="I31" s="32">
        <v>2</v>
      </c>
      <c r="J31" s="32" t="s">
        <v>364</v>
      </c>
      <c r="K31" s="32"/>
      <c r="L31" s="32" t="s">
        <v>92</v>
      </c>
      <c r="M31" s="32" t="s">
        <v>29</v>
      </c>
      <c r="N31" s="32" t="s">
        <v>365</v>
      </c>
      <c r="O31" s="32" t="s">
        <v>164</v>
      </c>
      <c r="P31" s="32" t="s">
        <v>360</v>
      </c>
    </row>
    <row r="32" spans="1:16" ht="409.6" customHeight="1" x14ac:dyDescent="0.25">
      <c r="A32" s="32">
        <v>30</v>
      </c>
      <c r="B32" s="32" t="s">
        <v>366</v>
      </c>
      <c r="C32" s="32"/>
      <c r="D32" s="32" t="s">
        <v>367</v>
      </c>
      <c r="E32" s="32" t="s">
        <v>368</v>
      </c>
      <c r="F32" s="32" t="s">
        <v>369</v>
      </c>
      <c r="G32" s="32" t="s">
        <v>370</v>
      </c>
      <c r="H32" s="32" t="s">
        <v>371</v>
      </c>
      <c r="I32" s="32">
        <v>1</v>
      </c>
      <c r="J32" s="32" t="s">
        <v>372</v>
      </c>
      <c r="K32" s="32"/>
      <c r="L32" s="32" t="s">
        <v>190</v>
      </c>
      <c r="M32" s="32" t="s">
        <v>29</v>
      </c>
      <c r="N32" s="32" t="s">
        <v>373</v>
      </c>
      <c r="O32" s="32" t="s">
        <v>164</v>
      </c>
      <c r="P32" s="32" t="s">
        <v>360</v>
      </c>
    </row>
    <row r="33" spans="1:16" ht="409.6" customHeight="1" x14ac:dyDescent="0.25">
      <c r="A33" s="32">
        <v>31</v>
      </c>
      <c r="B33" s="32" t="s">
        <v>374</v>
      </c>
      <c r="C33" s="32"/>
      <c r="D33" s="32" t="s">
        <v>375</v>
      </c>
      <c r="E33" s="32" t="s">
        <v>376</v>
      </c>
      <c r="F33" s="32" t="s">
        <v>377</v>
      </c>
      <c r="G33" s="32" t="s">
        <v>378</v>
      </c>
      <c r="H33" s="32" t="s">
        <v>379</v>
      </c>
      <c r="I33" s="32">
        <v>1</v>
      </c>
      <c r="J33" s="32" t="s">
        <v>380</v>
      </c>
      <c r="K33" s="32"/>
      <c r="L33" s="32" t="s">
        <v>190</v>
      </c>
      <c r="M33" s="32" t="s">
        <v>29</v>
      </c>
      <c r="N33" s="32" t="s">
        <v>381</v>
      </c>
      <c r="O33" s="32" t="s">
        <v>164</v>
      </c>
      <c r="P33" s="32" t="s">
        <v>360</v>
      </c>
    </row>
    <row r="34" spans="1:16" ht="409.6" customHeight="1" x14ac:dyDescent="0.25">
      <c r="A34" s="32">
        <v>32</v>
      </c>
      <c r="B34" s="32" t="s">
        <v>382</v>
      </c>
      <c r="C34" s="32"/>
      <c r="D34" s="32" t="s">
        <v>383</v>
      </c>
      <c r="E34" s="32" t="s">
        <v>384</v>
      </c>
      <c r="F34" s="32" t="s">
        <v>385</v>
      </c>
      <c r="G34" s="32" t="s">
        <v>386</v>
      </c>
      <c r="H34" s="32" t="s">
        <v>387</v>
      </c>
      <c r="I34" s="32">
        <v>3</v>
      </c>
      <c r="J34" s="32" t="s">
        <v>388</v>
      </c>
      <c r="K34" s="32"/>
      <c r="L34" s="32" t="s">
        <v>189</v>
      </c>
      <c r="M34" s="32" t="s">
        <v>29</v>
      </c>
      <c r="N34" s="32" t="s">
        <v>389</v>
      </c>
      <c r="O34" s="32" t="s">
        <v>164</v>
      </c>
      <c r="P34" s="32" t="s">
        <v>390</v>
      </c>
    </row>
    <row r="35" spans="1:16" ht="409.6" customHeight="1" x14ac:dyDescent="0.25">
      <c r="A35" s="32">
        <v>33</v>
      </c>
      <c r="B35" s="32" t="s">
        <v>391</v>
      </c>
      <c r="C35" s="32"/>
      <c r="D35" s="32" t="s">
        <v>392</v>
      </c>
      <c r="E35" s="32" t="s">
        <v>393</v>
      </c>
      <c r="F35" s="32" t="s">
        <v>394</v>
      </c>
      <c r="G35" s="32" t="s">
        <v>395</v>
      </c>
      <c r="H35" s="32" t="s">
        <v>396</v>
      </c>
      <c r="I35" s="32">
        <v>5</v>
      </c>
      <c r="J35" s="32" t="s">
        <v>397</v>
      </c>
      <c r="K35" s="32"/>
      <c r="L35" s="32" t="s">
        <v>92</v>
      </c>
      <c r="M35" s="32" t="s">
        <v>29</v>
      </c>
      <c r="N35" s="32" t="s">
        <v>398</v>
      </c>
      <c r="O35" s="32" t="s">
        <v>164</v>
      </c>
      <c r="P35" s="32" t="s">
        <v>390</v>
      </c>
    </row>
    <row r="36" spans="1:16" ht="409.6" customHeight="1" x14ac:dyDescent="0.25">
      <c r="A36" s="32">
        <v>34</v>
      </c>
      <c r="B36" s="32" t="s">
        <v>399</v>
      </c>
      <c r="C36" s="32"/>
      <c r="D36" s="32" t="s">
        <v>400</v>
      </c>
      <c r="E36" s="32" t="s">
        <v>401</v>
      </c>
      <c r="F36" s="32" t="s">
        <v>402</v>
      </c>
      <c r="G36" s="32" t="s">
        <v>403</v>
      </c>
      <c r="H36" s="32" t="s">
        <v>404</v>
      </c>
      <c r="I36" s="32">
        <v>3</v>
      </c>
      <c r="J36" s="32" t="s">
        <v>405</v>
      </c>
      <c r="K36" s="32"/>
      <c r="L36" s="32" t="s">
        <v>92</v>
      </c>
      <c r="M36" s="32" t="s">
        <v>29</v>
      </c>
      <c r="N36" s="32" t="s">
        <v>406</v>
      </c>
      <c r="O36" s="32" t="s">
        <v>164</v>
      </c>
      <c r="P36" s="32" t="s">
        <v>390</v>
      </c>
    </row>
    <row r="37" spans="1:16" ht="409.6" customHeight="1" x14ac:dyDescent="0.25">
      <c r="A37" s="32">
        <v>35</v>
      </c>
      <c r="B37" s="32" t="s">
        <v>407</v>
      </c>
      <c r="C37" s="32"/>
      <c r="D37" s="32" t="s">
        <v>408</v>
      </c>
      <c r="E37" s="32" t="s">
        <v>409</v>
      </c>
      <c r="F37" s="32" t="s">
        <v>410</v>
      </c>
      <c r="G37" s="32" t="s">
        <v>411</v>
      </c>
      <c r="H37" s="32" t="s">
        <v>412</v>
      </c>
      <c r="I37" s="32">
        <v>3</v>
      </c>
      <c r="J37" s="32" t="s">
        <v>413</v>
      </c>
      <c r="K37" s="32"/>
      <c r="L37" s="32" t="s">
        <v>92</v>
      </c>
      <c r="M37" s="32" t="s">
        <v>29</v>
      </c>
      <c r="N37" s="32" t="s">
        <v>414</v>
      </c>
      <c r="O37" s="32" t="s">
        <v>164</v>
      </c>
      <c r="P37" s="32" t="s">
        <v>390</v>
      </c>
    </row>
    <row r="38" spans="1:16" ht="409.6" customHeight="1" x14ac:dyDescent="0.25">
      <c r="A38" s="32">
        <v>36</v>
      </c>
      <c r="B38" s="32" t="s">
        <v>415</v>
      </c>
      <c r="C38" s="32"/>
      <c r="D38" s="32" t="s">
        <v>416</v>
      </c>
      <c r="E38" s="32" t="s">
        <v>417</v>
      </c>
      <c r="F38" s="32" t="s">
        <v>418</v>
      </c>
      <c r="G38" s="32" t="s">
        <v>419</v>
      </c>
      <c r="H38" s="32" t="s">
        <v>420</v>
      </c>
      <c r="I38" s="32">
        <v>2</v>
      </c>
      <c r="J38" s="32" t="s">
        <v>421</v>
      </c>
      <c r="K38" s="32"/>
      <c r="L38" s="32" t="s">
        <v>92</v>
      </c>
      <c r="M38" s="32" t="s">
        <v>29</v>
      </c>
      <c r="N38" s="32" t="s">
        <v>422</v>
      </c>
      <c r="O38" s="32" t="s">
        <v>164</v>
      </c>
      <c r="P38" s="32" t="s">
        <v>390</v>
      </c>
    </row>
    <row r="39" spans="1:16" ht="409.6" customHeight="1" x14ac:dyDescent="0.25">
      <c r="A39" s="32">
        <v>37</v>
      </c>
      <c r="B39" s="32" t="s">
        <v>423</v>
      </c>
      <c r="C39" s="32"/>
      <c r="D39" s="32" t="s">
        <v>424</v>
      </c>
      <c r="E39" s="32" t="s">
        <v>425</v>
      </c>
      <c r="F39" s="32" t="s">
        <v>426</v>
      </c>
      <c r="G39" s="32" t="s">
        <v>427</v>
      </c>
      <c r="H39" s="32" t="s">
        <v>428</v>
      </c>
      <c r="I39" s="32">
        <v>4</v>
      </c>
      <c r="J39" s="32" t="s">
        <v>429</v>
      </c>
      <c r="K39" s="32"/>
      <c r="L39" s="32" t="s">
        <v>92</v>
      </c>
      <c r="M39" s="32" t="s">
        <v>29</v>
      </c>
      <c r="N39" s="32" t="s">
        <v>430</v>
      </c>
      <c r="O39" s="32" t="s">
        <v>164</v>
      </c>
      <c r="P39" s="32" t="s">
        <v>390</v>
      </c>
    </row>
    <row r="40" spans="1:16" ht="409.6" customHeight="1" x14ac:dyDescent="0.25">
      <c r="A40" s="32">
        <v>38</v>
      </c>
      <c r="B40" s="32" t="s">
        <v>431</v>
      </c>
      <c r="C40" s="32"/>
      <c r="D40" s="32" t="s">
        <v>432</v>
      </c>
      <c r="E40" s="32" t="s">
        <v>433</v>
      </c>
      <c r="F40" s="32" t="s">
        <v>434</v>
      </c>
      <c r="G40" s="32" t="s">
        <v>435</v>
      </c>
      <c r="H40" s="32" t="s">
        <v>436</v>
      </c>
      <c r="I40" s="32">
        <v>1</v>
      </c>
      <c r="J40" s="32" t="s">
        <v>437</v>
      </c>
      <c r="K40" s="32"/>
      <c r="L40" s="32" t="s">
        <v>92</v>
      </c>
      <c r="M40" s="32" t="s">
        <v>29</v>
      </c>
      <c r="N40" s="32" t="s">
        <v>438</v>
      </c>
      <c r="O40" s="32" t="s">
        <v>164</v>
      </c>
      <c r="P40" s="32" t="s">
        <v>390</v>
      </c>
    </row>
    <row r="41" spans="1:16" ht="409.6" customHeight="1" x14ac:dyDescent="0.25">
      <c r="A41" s="32">
        <v>39</v>
      </c>
      <c r="B41" s="32" t="s">
        <v>439</v>
      </c>
      <c r="C41" s="32"/>
      <c r="D41" s="32" t="s">
        <v>440</v>
      </c>
      <c r="E41" s="32" t="s">
        <v>441</v>
      </c>
      <c r="F41" s="32" t="s">
        <v>442</v>
      </c>
      <c r="G41" s="32" t="s">
        <v>443</v>
      </c>
      <c r="H41" s="32" t="s">
        <v>332</v>
      </c>
      <c r="I41" s="32">
        <v>5</v>
      </c>
      <c r="J41" s="32" t="s">
        <v>444</v>
      </c>
      <c r="K41" s="32"/>
      <c r="L41" s="32" t="s">
        <v>92</v>
      </c>
      <c r="M41" s="32" t="s">
        <v>29</v>
      </c>
      <c r="N41" s="32" t="s">
        <v>445</v>
      </c>
      <c r="O41" s="32" t="s">
        <v>164</v>
      </c>
      <c r="P41" s="32" t="s">
        <v>390</v>
      </c>
    </row>
    <row r="42" spans="1:16" ht="409.6" customHeight="1" x14ac:dyDescent="0.25">
      <c r="A42" s="32">
        <v>40</v>
      </c>
      <c r="B42" s="32" t="s">
        <v>446</v>
      </c>
      <c r="C42" s="32"/>
      <c r="D42" s="32" t="s">
        <v>447</v>
      </c>
      <c r="E42" s="32" t="s">
        <v>184</v>
      </c>
      <c r="F42" s="32" t="s">
        <v>448</v>
      </c>
      <c r="G42" s="32" t="s">
        <v>183</v>
      </c>
      <c r="H42" s="32" t="s">
        <v>449</v>
      </c>
      <c r="I42" s="32">
        <v>2</v>
      </c>
      <c r="J42" s="32" t="s">
        <v>450</v>
      </c>
      <c r="K42" s="32"/>
      <c r="L42" s="32" t="s">
        <v>92</v>
      </c>
      <c r="M42" s="32" t="s">
        <v>29</v>
      </c>
      <c r="N42" s="32" t="s">
        <v>451</v>
      </c>
      <c r="O42" s="32" t="s">
        <v>164</v>
      </c>
      <c r="P42" s="32" t="s">
        <v>390</v>
      </c>
    </row>
    <row r="43" spans="1:16" ht="409.6" customHeight="1" x14ac:dyDescent="0.25">
      <c r="A43" s="32">
        <v>41</v>
      </c>
      <c r="B43" s="32" t="s">
        <v>452</v>
      </c>
      <c r="C43" s="32"/>
      <c r="D43" s="32" t="s">
        <v>189</v>
      </c>
      <c r="E43" s="32" t="s">
        <v>190</v>
      </c>
      <c r="F43" s="32" t="s">
        <v>192</v>
      </c>
      <c r="G43" s="32" t="s">
        <v>453</v>
      </c>
      <c r="H43" s="32" t="s">
        <v>454</v>
      </c>
      <c r="I43" s="32">
        <v>1</v>
      </c>
      <c r="J43" s="32" t="s">
        <v>455</v>
      </c>
      <c r="K43" s="32"/>
      <c r="L43" s="32" t="s">
        <v>189</v>
      </c>
      <c r="M43" s="32" t="s">
        <v>29</v>
      </c>
      <c r="N43" s="32" t="s">
        <v>456</v>
      </c>
      <c r="O43" s="32" t="s">
        <v>164</v>
      </c>
      <c r="P43" s="32" t="s">
        <v>457</v>
      </c>
    </row>
    <row r="44" spans="1:16" ht="409.6" customHeight="1" x14ac:dyDescent="0.25">
      <c r="A44" s="32">
        <v>42</v>
      </c>
      <c r="B44" s="32" t="s">
        <v>458</v>
      </c>
      <c r="C44" s="32"/>
      <c r="D44" s="32" t="s">
        <v>459</v>
      </c>
      <c r="E44" s="32" t="s">
        <v>460</v>
      </c>
      <c r="F44" s="32" t="s">
        <v>157</v>
      </c>
      <c r="G44" s="32" t="s">
        <v>276</v>
      </c>
      <c r="H44" s="32" t="s">
        <v>461</v>
      </c>
      <c r="I44" s="32">
        <v>1</v>
      </c>
      <c r="J44" s="32" t="s">
        <v>462</v>
      </c>
      <c r="K44" s="32"/>
      <c r="L44" s="32" t="s">
        <v>189</v>
      </c>
      <c r="M44" s="32" t="s">
        <v>29</v>
      </c>
      <c r="N44" s="32" t="s">
        <v>463</v>
      </c>
      <c r="O44" s="32" t="s">
        <v>164</v>
      </c>
      <c r="P44" s="32" t="s">
        <v>457</v>
      </c>
    </row>
    <row r="45" spans="1:16" ht="409.6" customHeight="1" x14ac:dyDescent="0.25">
      <c r="A45" s="32">
        <v>43</v>
      </c>
      <c r="B45" s="32" t="s">
        <v>464</v>
      </c>
      <c r="C45" s="32"/>
      <c r="D45" s="32" t="s">
        <v>465</v>
      </c>
      <c r="E45" s="32" t="s">
        <v>466</v>
      </c>
      <c r="F45" s="32" t="s">
        <v>467</v>
      </c>
      <c r="G45" s="32" t="s">
        <v>468</v>
      </c>
      <c r="H45" s="32" t="s">
        <v>469</v>
      </c>
      <c r="I45" s="32">
        <v>4</v>
      </c>
      <c r="J45" s="32" t="s">
        <v>470</v>
      </c>
      <c r="K45" s="32"/>
      <c r="L45" s="32" t="s">
        <v>189</v>
      </c>
      <c r="M45" s="32" t="s">
        <v>29</v>
      </c>
      <c r="N45" s="32" t="s">
        <v>471</v>
      </c>
      <c r="O45" s="32" t="s">
        <v>164</v>
      </c>
      <c r="P45" s="32" t="s">
        <v>457</v>
      </c>
    </row>
    <row r="46" spans="1:16" ht="409.6" customHeight="1" x14ac:dyDescent="0.25">
      <c r="A46" s="32">
        <v>44</v>
      </c>
      <c r="B46" s="32" t="s">
        <v>472</v>
      </c>
      <c r="C46" s="32"/>
      <c r="D46" s="32" t="s">
        <v>377</v>
      </c>
      <c r="E46" s="32" t="s">
        <v>378</v>
      </c>
      <c r="F46" s="32" t="s">
        <v>375</v>
      </c>
      <c r="G46" s="32" t="s">
        <v>376</v>
      </c>
      <c r="H46" s="32" t="s">
        <v>473</v>
      </c>
      <c r="I46" s="32">
        <v>3</v>
      </c>
      <c r="J46" s="32" t="s">
        <v>474</v>
      </c>
      <c r="K46" s="32"/>
      <c r="L46" s="32" t="s">
        <v>190</v>
      </c>
      <c r="M46" s="32" t="s">
        <v>29</v>
      </c>
      <c r="N46" s="32" t="s">
        <v>475</v>
      </c>
      <c r="O46" s="32" t="s">
        <v>164</v>
      </c>
      <c r="P46" s="32" t="s">
        <v>457</v>
      </c>
    </row>
    <row r="47" spans="1:16" ht="409.6" customHeight="1" x14ac:dyDescent="0.25">
      <c r="A47" s="32">
        <v>45</v>
      </c>
      <c r="B47" s="32" t="s">
        <v>476</v>
      </c>
      <c r="C47" s="32"/>
      <c r="D47" s="32" t="s">
        <v>477</v>
      </c>
      <c r="E47" s="32" t="s">
        <v>478</v>
      </c>
      <c r="F47" s="32" t="s">
        <v>479</v>
      </c>
      <c r="G47" s="32" t="s">
        <v>480</v>
      </c>
      <c r="H47" s="32" t="s">
        <v>481</v>
      </c>
      <c r="I47" s="32">
        <v>2</v>
      </c>
      <c r="J47" s="32" t="s">
        <v>482</v>
      </c>
      <c r="K47" s="32"/>
      <c r="L47" s="32" t="s">
        <v>190</v>
      </c>
      <c r="M47" s="32" t="s">
        <v>29</v>
      </c>
      <c r="N47" s="32" t="s">
        <v>483</v>
      </c>
      <c r="O47" s="32" t="s">
        <v>164</v>
      </c>
      <c r="P47" s="32" t="s">
        <v>457</v>
      </c>
    </row>
    <row r="48" spans="1:16" ht="409.6" customHeight="1" x14ac:dyDescent="0.25">
      <c r="A48" s="32">
        <v>46</v>
      </c>
      <c r="B48" s="32" t="s">
        <v>484</v>
      </c>
      <c r="C48" s="32"/>
      <c r="D48" s="32" t="s">
        <v>485</v>
      </c>
      <c r="E48" s="32" t="s">
        <v>486</v>
      </c>
      <c r="F48" s="32" t="s">
        <v>487</v>
      </c>
      <c r="G48" s="32" t="s">
        <v>488</v>
      </c>
      <c r="H48" s="32" t="s">
        <v>489</v>
      </c>
      <c r="I48" s="32">
        <v>5</v>
      </c>
      <c r="J48" s="32" t="s">
        <v>490</v>
      </c>
      <c r="K48" s="32"/>
      <c r="L48" s="32" t="s">
        <v>189</v>
      </c>
      <c r="M48" s="32" t="s">
        <v>29</v>
      </c>
      <c r="N48" s="32" t="s">
        <v>491</v>
      </c>
      <c r="O48" s="32" t="s">
        <v>164</v>
      </c>
      <c r="P48" s="32" t="s">
        <v>457</v>
      </c>
    </row>
    <row r="49" spans="1:16" ht="409.6" customHeight="1" x14ac:dyDescent="0.25">
      <c r="A49" s="32">
        <v>47</v>
      </c>
      <c r="B49" s="32" t="s">
        <v>492</v>
      </c>
      <c r="C49" s="32"/>
      <c r="D49" s="32" t="s">
        <v>493</v>
      </c>
      <c r="E49" s="32" t="s">
        <v>494</v>
      </c>
      <c r="F49" s="32" t="s">
        <v>495</v>
      </c>
      <c r="G49" s="32" t="s">
        <v>496</v>
      </c>
      <c r="H49" s="32" t="s">
        <v>497</v>
      </c>
      <c r="I49" s="32">
        <v>5</v>
      </c>
      <c r="J49" s="32" t="s">
        <v>498</v>
      </c>
      <c r="K49" s="32"/>
      <c r="L49" s="32" t="s">
        <v>190</v>
      </c>
      <c r="M49" s="32" t="s">
        <v>29</v>
      </c>
      <c r="N49" s="32" t="s">
        <v>499</v>
      </c>
      <c r="O49" s="32" t="s">
        <v>164</v>
      </c>
      <c r="P49" s="32" t="s">
        <v>457</v>
      </c>
    </row>
    <row r="50" spans="1:16" ht="409.6" customHeight="1" x14ac:dyDescent="0.25">
      <c r="A50" s="32">
        <v>48</v>
      </c>
      <c r="B50" s="32" t="s">
        <v>500</v>
      </c>
      <c r="C50" s="32"/>
      <c r="D50" s="32" t="s">
        <v>190</v>
      </c>
      <c r="E50" s="32" t="s">
        <v>501</v>
      </c>
      <c r="F50" s="32" t="s">
        <v>189</v>
      </c>
      <c r="G50" s="32" t="s">
        <v>502</v>
      </c>
      <c r="H50" s="32" t="s">
        <v>503</v>
      </c>
      <c r="I50" s="32">
        <v>1</v>
      </c>
      <c r="J50" s="32" t="s">
        <v>504</v>
      </c>
      <c r="K50" s="32"/>
      <c r="L50" s="32" t="s">
        <v>190</v>
      </c>
      <c r="M50" s="32" t="s">
        <v>29</v>
      </c>
      <c r="N50" s="32" t="s">
        <v>505</v>
      </c>
      <c r="O50" s="32" t="s">
        <v>164</v>
      </c>
      <c r="P50" s="32" t="s">
        <v>506</v>
      </c>
    </row>
    <row r="51" spans="1:16" ht="409.6" customHeight="1" x14ac:dyDescent="0.25">
      <c r="A51" s="32">
        <v>49</v>
      </c>
      <c r="B51" s="32" t="s">
        <v>507</v>
      </c>
      <c r="C51" s="32"/>
      <c r="D51" s="32" t="s">
        <v>508</v>
      </c>
      <c r="E51" s="32" t="s">
        <v>509</v>
      </c>
      <c r="F51" s="32" t="s">
        <v>510</v>
      </c>
      <c r="G51" s="32" t="s">
        <v>511</v>
      </c>
      <c r="H51" s="32" t="s">
        <v>512</v>
      </c>
      <c r="I51" s="32">
        <v>1</v>
      </c>
      <c r="J51" s="32" t="s">
        <v>513</v>
      </c>
      <c r="K51" s="32"/>
      <c r="L51" s="32" t="s">
        <v>190</v>
      </c>
      <c r="M51" s="32" t="s">
        <v>29</v>
      </c>
      <c r="N51" s="32" t="s">
        <v>514</v>
      </c>
      <c r="O51" s="32" t="s">
        <v>164</v>
      </c>
      <c r="P51" s="32" t="s">
        <v>506</v>
      </c>
    </row>
    <row r="52" spans="1:16" ht="409.6" customHeight="1" x14ac:dyDescent="0.25">
      <c r="A52" s="32">
        <v>50</v>
      </c>
      <c r="B52" s="32" t="s">
        <v>515</v>
      </c>
      <c r="C52" s="32"/>
      <c r="D52" s="32" t="s">
        <v>516</v>
      </c>
      <c r="E52" s="32" t="s">
        <v>517</v>
      </c>
      <c r="F52" s="32" t="s">
        <v>518</v>
      </c>
      <c r="G52" s="32" t="s">
        <v>519</v>
      </c>
      <c r="H52" s="32" t="s">
        <v>520</v>
      </c>
      <c r="I52" s="32">
        <v>5</v>
      </c>
      <c r="J52" s="32" t="s">
        <v>521</v>
      </c>
      <c r="K52" s="32"/>
      <c r="L52" s="32" t="s">
        <v>522</v>
      </c>
      <c r="M52" s="32" t="s">
        <v>29</v>
      </c>
      <c r="N52" s="32" t="s">
        <v>523</v>
      </c>
      <c r="O52" s="32" t="s">
        <v>164</v>
      </c>
      <c r="P52" s="32" t="s">
        <v>506</v>
      </c>
    </row>
    <row r="53" spans="1:16" ht="409.6" customHeight="1" x14ac:dyDescent="0.25">
      <c r="A53" s="32">
        <v>51</v>
      </c>
      <c r="B53" s="32" t="s">
        <v>524</v>
      </c>
      <c r="C53" s="32"/>
      <c r="D53" s="32" t="s">
        <v>376</v>
      </c>
      <c r="E53" s="32" t="s">
        <v>525</v>
      </c>
      <c r="F53" s="32" t="s">
        <v>526</v>
      </c>
      <c r="G53" s="32" t="s">
        <v>378</v>
      </c>
      <c r="H53" s="32" t="s">
        <v>527</v>
      </c>
      <c r="I53" s="32">
        <v>5</v>
      </c>
      <c r="J53" s="32" t="s">
        <v>528</v>
      </c>
      <c r="K53" s="32"/>
      <c r="L53" s="32" t="s">
        <v>190</v>
      </c>
      <c r="M53" s="32" t="s">
        <v>29</v>
      </c>
      <c r="N53" s="32" t="s">
        <v>529</v>
      </c>
      <c r="O53" s="32" t="s">
        <v>164</v>
      </c>
      <c r="P53" s="32" t="s">
        <v>506</v>
      </c>
    </row>
    <row r="54" spans="1:16" ht="409.6" customHeight="1" x14ac:dyDescent="0.25">
      <c r="A54" s="32">
        <v>52</v>
      </c>
      <c r="B54" s="32" t="s">
        <v>530</v>
      </c>
      <c r="C54" s="32"/>
      <c r="D54" s="32" t="s">
        <v>531</v>
      </c>
      <c r="E54" s="32" t="s">
        <v>532</v>
      </c>
      <c r="F54" s="32" t="s">
        <v>533</v>
      </c>
      <c r="G54" s="32" t="s">
        <v>534</v>
      </c>
      <c r="H54" s="32" t="s">
        <v>478</v>
      </c>
      <c r="I54" s="32">
        <v>5</v>
      </c>
      <c r="J54" s="32" t="s">
        <v>535</v>
      </c>
      <c r="K54" s="32"/>
      <c r="L54" s="32" t="s">
        <v>190</v>
      </c>
      <c r="M54" s="32" t="s">
        <v>29</v>
      </c>
      <c r="N54" s="32" t="s">
        <v>536</v>
      </c>
      <c r="O54" s="32" t="s">
        <v>164</v>
      </c>
      <c r="P54" s="32" t="s">
        <v>506</v>
      </c>
    </row>
    <row r="55" spans="1:16" ht="409.6" customHeight="1" x14ac:dyDescent="0.25">
      <c r="A55" s="32">
        <v>53</v>
      </c>
      <c r="B55" s="32" t="s">
        <v>537</v>
      </c>
      <c r="C55" s="32"/>
      <c r="D55" s="32" t="s">
        <v>538</v>
      </c>
      <c r="E55" s="32" t="s">
        <v>539</v>
      </c>
      <c r="F55" s="32" t="s">
        <v>540</v>
      </c>
      <c r="G55" s="32" t="s">
        <v>541</v>
      </c>
      <c r="H55" s="32" t="s">
        <v>542</v>
      </c>
      <c r="I55" s="32">
        <v>2</v>
      </c>
      <c r="J55" s="32" t="s">
        <v>543</v>
      </c>
      <c r="K55" s="32"/>
      <c r="L55" s="32" t="s">
        <v>189</v>
      </c>
      <c r="M55" s="32" t="s">
        <v>29</v>
      </c>
      <c r="N55" s="32" t="s">
        <v>544</v>
      </c>
      <c r="O55" s="32" t="s">
        <v>164</v>
      </c>
      <c r="P55" s="32" t="s">
        <v>545</v>
      </c>
    </row>
    <row r="56" spans="1:16" ht="409.6" customHeight="1" x14ac:dyDescent="0.25">
      <c r="A56" s="32">
        <v>54</v>
      </c>
      <c r="B56" s="32" t="s">
        <v>546</v>
      </c>
      <c r="C56" s="32"/>
      <c r="D56" s="32" t="s">
        <v>547</v>
      </c>
      <c r="E56" s="32" t="s">
        <v>548</v>
      </c>
      <c r="F56" s="32" t="s">
        <v>549</v>
      </c>
      <c r="G56" s="32" t="s">
        <v>550</v>
      </c>
      <c r="H56" s="32" t="s">
        <v>551</v>
      </c>
      <c r="I56" s="32">
        <v>5</v>
      </c>
      <c r="J56" s="32" t="s">
        <v>552</v>
      </c>
      <c r="K56" s="32"/>
      <c r="L56" s="32" t="s">
        <v>189</v>
      </c>
      <c r="M56" s="32" t="s">
        <v>29</v>
      </c>
      <c r="N56" s="32" t="s">
        <v>553</v>
      </c>
      <c r="O56" s="32" t="s">
        <v>164</v>
      </c>
      <c r="P56" s="32" t="s">
        <v>545</v>
      </c>
    </row>
    <row r="57" spans="1:16" ht="409.6" customHeight="1" x14ac:dyDescent="0.25">
      <c r="A57" s="32">
        <v>55</v>
      </c>
      <c r="B57" s="32" t="s">
        <v>554</v>
      </c>
      <c r="C57" s="32"/>
      <c r="D57" s="32" t="s">
        <v>538</v>
      </c>
      <c r="E57" s="32" t="s">
        <v>539</v>
      </c>
      <c r="F57" s="32" t="s">
        <v>542</v>
      </c>
      <c r="G57" s="32" t="s">
        <v>540</v>
      </c>
      <c r="H57" s="32" t="s">
        <v>555</v>
      </c>
      <c r="I57" s="32">
        <v>2</v>
      </c>
      <c r="J57" s="32" t="s">
        <v>556</v>
      </c>
      <c r="K57" s="32"/>
      <c r="L57" s="32" t="s">
        <v>189</v>
      </c>
      <c r="M57" s="32" t="s">
        <v>29</v>
      </c>
      <c r="N57" s="32" t="s">
        <v>557</v>
      </c>
      <c r="O57" s="32" t="s">
        <v>164</v>
      </c>
      <c r="P57" s="32" t="s">
        <v>545</v>
      </c>
    </row>
    <row r="58" spans="1:16" ht="409.6" customHeight="1" x14ac:dyDescent="0.25">
      <c r="A58" s="32">
        <v>56</v>
      </c>
      <c r="B58" s="32" t="s">
        <v>558</v>
      </c>
      <c r="C58" s="32"/>
      <c r="D58" s="32" t="s">
        <v>559</v>
      </c>
      <c r="E58" s="32" t="s">
        <v>539</v>
      </c>
      <c r="F58" s="32" t="s">
        <v>158</v>
      </c>
      <c r="G58" s="32" t="s">
        <v>459</v>
      </c>
      <c r="H58" s="32" t="s">
        <v>560</v>
      </c>
      <c r="I58" s="32">
        <v>3</v>
      </c>
      <c r="J58" s="32" t="s">
        <v>561</v>
      </c>
      <c r="K58" s="32"/>
      <c r="L58" s="32" t="s">
        <v>189</v>
      </c>
      <c r="M58" s="32" t="s">
        <v>29</v>
      </c>
      <c r="N58" s="32" t="s">
        <v>562</v>
      </c>
      <c r="O58" s="32" t="s">
        <v>164</v>
      </c>
      <c r="P58" s="32" t="s">
        <v>545</v>
      </c>
    </row>
    <row r="59" spans="1:16" ht="409.6" customHeight="1" x14ac:dyDescent="0.25">
      <c r="A59" s="32">
        <v>57</v>
      </c>
      <c r="B59" s="32" t="s">
        <v>563</v>
      </c>
      <c r="C59" s="32"/>
      <c r="D59" s="32" t="s">
        <v>157</v>
      </c>
      <c r="E59" s="32" t="s">
        <v>560</v>
      </c>
      <c r="F59" s="32" t="s">
        <v>362</v>
      </c>
      <c r="G59" s="32" t="s">
        <v>564</v>
      </c>
      <c r="H59" s="32" t="s">
        <v>565</v>
      </c>
      <c r="I59" s="32">
        <v>4</v>
      </c>
      <c r="J59" s="32" t="s">
        <v>566</v>
      </c>
      <c r="K59" s="32"/>
      <c r="L59" s="32" t="s">
        <v>92</v>
      </c>
      <c r="M59" s="32" t="s">
        <v>29</v>
      </c>
      <c r="N59" s="32" t="s">
        <v>567</v>
      </c>
      <c r="O59" s="32" t="s">
        <v>164</v>
      </c>
      <c r="P59" s="32" t="s">
        <v>545</v>
      </c>
    </row>
    <row r="60" spans="1:16" ht="409.6" customHeight="1" x14ac:dyDescent="0.25">
      <c r="A60" s="32">
        <v>58</v>
      </c>
      <c r="B60" s="32" t="s">
        <v>568</v>
      </c>
      <c r="C60" s="32"/>
      <c r="D60" s="32" t="s">
        <v>569</v>
      </c>
      <c r="E60" s="32" t="s">
        <v>570</v>
      </c>
      <c r="F60" s="32" t="s">
        <v>571</v>
      </c>
      <c r="G60" s="32" t="s">
        <v>572</v>
      </c>
      <c r="H60" s="32" t="s">
        <v>573</v>
      </c>
      <c r="I60" s="32">
        <v>5</v>
      </c>
      <c r="J60" s="32" t="s">
        <v>574</v>
      </c>
      <c r="K60" s="32"/>
      <c r="L60" s="32" t="s">
        <v>92</v>
      </c>
      <c r="M60" s="32" t="s">
        <v>29</v>
      </c>
      <c r="N60" s="32" t="s">
        <v>575</v>
      </c>
      <c r="O60" s="32" t="s">
        <v>164</v>
      </c>
      <c r="P60" s="32" t="s">
        <v>545</v>
      </c>
    </row>
    <row r="61" spans="1:16" ht="409.6" customHeight="1" x14ac:dyDescent="0.25">
      <c r="A61" s="32">
        <v>59</v>
      </c>
      <c r="B61" s="32" t="s">
        <v>576</v>
      </c>
      <c r="C61" s="32"/>
      <c r="D61" s="32" t="s">
        <v>577</v>
      </c>
      <c r="E61" s="32" t="s">
        <v>578</v>
      </c>
      <c r="F61" s="32" t="s">
        <v>579</v>
      </c>
      <c r="G61" s="32" t="s">
        <v>580</v>
      </c>
      <c r="H61" s="32" t="s">
        <v>581</v>
      </c>
      <c r="I61" s="32">
        <v>5</v>
      </c>
      <c r="J61" s="32" t="s">
        <v>582</v>
      </c>
      <c r="K61" s="32"/>
      <c r="L61" s="32" t="s">
        <v>92</v>
      </c>
      <c r="M61" s="32" t="s">
        <v>29</v>
      </c>
      <c r="N61" s="32" t="s">
        <v>583</v>
      </c>
      <c r="O61" s="32" t="s">
        <v>164</v>
      </c>
      <c r="P61" s="32" t="s">
        <v>545</v>
      </c>
    </row>
    <row r="62" spans="1:16" ht="409.6" customHeight="1" x14ac:dyDescent="0.25">
      <c r="A62" s="32">
        <v>60</v>
      </c>
      <c r="B62" s="32" t="s">
        <v>584</v>
      </c>
      <c r="C62" s="32"/>
      <c r="D62" s="32" t="s">
        <v>585</v>
      </c>
      <c r="E62" s="32" t="s">
        <v>586</v>
      </c>
      <c r="F62" s="32" t="s">
        <v>587</v>
      </c>
      <c r="G62" s="32" t="s">
        <v>588</v>
      </c>
      <c r="H62" s="32" t="s">
        <v>589</v>
      </c>
      <c r="I62" s="32">
        <v>3</v>
      </c>
      <c r="J62" s="32" t="s">
        <v>590</v>
      </c>
      <c r="K62" s="32"/>
      <c r="L62" s="32" t="s">
        <v>92</v>
      </c>
      <c r="M62" s="32" t="s">
        <v>29</v>
      </c>
      <c r="N62" s="32" t="s">
        <v>591</v>
      </c>
      <c r="O62" s="32" t="s">
        <v>164</v>
      </c>
      <c r="P62" s="32" t="s">
        <v>545</v>
      </c>
    </row>
    <row r="63" spans="1:16" ht="409.6" customHeight="1" x14ac:dyDescent="0.25">
      <c r="A63" s="32">
        <v>61</v>
      </c>
      <c r="B63" s="32" t="s">
        <v>592</v>
      </c>
      <c r="C63" s="32"/>
      <c r="D63" s="32" t="s">
        <v>593</v>
      </c>
      <c r="E63" s="32" t="s">
        <v>594</v>
      </c>
      <c r="F63" s="32" t="s">
        <v>595</v>
      </c>
      <c r="G63" s="32" t="s">
        <v>596</v>
      </c>
      <c r="H63" s="32" t="s">
        <v>597</v>
      </c>
      <c r="I63" s="32">
        <v>2</v>
      </c>
      <c r="J63" s="32" t="s">
        <v>598</v>
      </c>
      <c r="K63" s="32"/>
      <c r="L63" s="32" t="s">
        <v>287</v>
      </c>
      <c r="M63" s="32" t="s">
        <v>29</v>
      </c>
      <c r="N63" s="32" t="s">
        <v>599</v>
      </c>
      <c r="O63" s="32" t="s">
        <v>164</v>
      </c>
      <c r="P63" s="32" t="s">
        <v>545</v>
      </c>
    </row>
    <row r="64" spans="1:16" ht="409.6" customHeight="1" x14ac:dyDescent="0.25">
      <c r="A64" s="32">
        <v>62</v>
      </c>
      <c r="B64" s="32" t="s">
        <v>600</v>
      </c>
      <c r="C64" s="32"/>
      <c r="D64" s="32" t="s">
        <v>383</v>
      </c>
      <c r="E64" s="32" t="s">
        <v>601</v>
      </c>
      <c r="F64" s="32" t="s">
        <v>602</v>
      </c>
      <c r="G64" s="32" t="s">
        <v>603</v>
      </c>
      <c r="H64" s="32" t="s">
        <v>604</v>
      </c>
      <c r="I64" s="32">
        <v>2</v>
      </c>
      <c r="J64" s="32" t="s">
        <v>605</v>
      </c>
      <c r="K64" s="32"/>
      <c r="L64" s="32" t="s">
        <v>189</v>
      </c>
      <c r="M64" s="32" t="s">
        <v>29</v>
      </c>
      <c r="N64" s="32" t="s">
        <v>606</v>
      </c>
      <c r="O64" s="32" t="s">
        <v>164</v>
      </c>
      <c r="P64" s="32" t="s">
        <v>607</v>
      </c>
    </row>
    <row r="65" spans="1:16" ht="409.6" customHeight="1" x14ac:dyDescent="0.25">
      <c r="A65" s="32">
        <v>63</v>
      </c>
      <c r="B65" s="32" t="s">
        <v>608</v>
      </c>
      <c r="C65" s="32"/>
      <c r="D65" s="32" t="s">
        <v>609</v>
      </c>
      <c r="E65" s="32" t="s">
        <v>283</v>
      </c>
      <c r="F65" s="32" t="s">
        <v>610</v>
      </c>
      <c r="G65" s="32" t="s">
        <v>157</v>
      </c>
      <c r="H65" s="32" t="s">
        <v>158</v>
      </c>
      <c r="I65" s="32">
        <v>1</v>
      </c>
      <c r="J65" s="32" t="s">
        <v>611</v>
      </c>
      <c r="K65" s="32"/>
      <c r="L65" s="32" t="s">
        <v>189</v>
      </c>
      <c r="M65" s="32" t="s">
        <v>29</v>
      </c>
      <c r="N65" s="32" t="s">
        <v>612</v>
      </c>
      <c r="O65" s="32" t="s">
        <v>164</v>
      </c>
      <c r="P65" s="32" t="s">
        <v>607</v>
      </c>
    </row>
    <row r="66" spans="1:16" ht="409.6" customHeight="1" x14ac:dyDescent="0.25">
      <c r="A66" s="32">
        <v>64</v>
      </c>
      <c r="B66" s="32" t="s">
        <v>613</v>
      </c>
      <c r="C66" s="32"/>
      <c r="D66" s="32" t="s">
        <v>614</v>
      </c>
      <c r="E66" s="32" t="s">
        <v>615</v>
      </c>
      <c r="F66" s="32" t="s">
        <v>616</v>
      </c>
      <c r="G66" s="32" t="s">
        <v>345</v>
      </c>
      <c r="H66" s="32" t="s">
        <v>617</v>
      </c>
      <c r="I66" s="32">
        <v>1</v>
      </c>
      <c r="J66" s="32" t="s">
        <v>618</v>
      </c>
      <c r="K66" s="32"/>
      <c r="L66" s="32" t="s">
        <v>522</v>
      </c>
      <c r="M66" s="32" t="s">
        <v>29</v>
      </c>
      <c r="N66" s="32" t="s">
        <v>619</v>
      </c>
      <c r="O66" s="32" t="s">
        <v>164</v>
      </c>
      <c r="P66" s="32" t="s">
        <v>607</v>
      </c>
    </row>
    <row r="67" spans="1:16" ht="409.6" customHeight="1" x14ac:dyDescent="0.25">
      <c r="A67" s="32">
        <v>65</v>
      </c>
      <c r="B67" s="32" t="s">
        <v>620</v>
      </c>
      <c r="C67" s="32"/>
      <c r="D67" s="32" t="s">
        <v>621</v>
      </c>
      <c r="E67" s="32" t="s">
        <v>622</v>
      </c>
      <c r="F67" s="32" t="s">
        <v>623</v>
      </c>
      <c r="G67" s="32" t="s">
        <v>624</v>
      </c>
      <c r="H67" s="32" t="s">
        <v>625</v>
      </c>
      <c r="I67" s="32">
        <v>2</v>
      </c>
      <c r="J67" s="32" t="s">
        <v>626</v>
      </c>
      <c r="K67" s="32"/>
      <c r="L67" s="32" t="s">
        <v>189</v>
      </c>
      <c r="M67" s="32" t="s">
        <v>29</v>
      </c>
      <c r="N67" s="32" t="s">
        <v>627</v>
      </c>
      <c r="O67" s="32" t="s">
        <v>164</v>
      </c>
      <c r="P67" s="32" t="s">
        <v>607</v>
      </c>
    </row>
    <row r="68" spans="1:16" ht="409.6" customHeight="1" x14ac:dyDescent="0.25">
      <c r="A68" s="32">
        <v>66</v>
      </c>
      <c r="B68" s="32" t="s">
        <v>628</v>
      </c>
      <c r="C68" s="32"/>
      <c r="D68" s="32" t="s">
        <v>559</v>
      </c>
      <c r="E68" s="32" t="s">
        <v>539</v>
      </c>
      <c r="F68" s="32" t="s">
        <v>158</v>
      </c>
      <c r="G68" s="32" t="s">
        <v>629</v>
      </c>
      <c r="H68" s="32" t="s">
        <v>630</v>
      </c>
      <c r="I68" s="32">
        <v>5</v>
      </c>
      <c r="J68" s="32" t="s">
        <v>631</v>
      </c>
      <c r="K68" s="32"/>
      <c r="L68" s="32" t="s">
        <v>189</v>
      </c>
      <c r="M68" s="32" t="s">
        <v>29</v>
      </c>
      <c r="N68" s="32" t="s">
        <v>632</v>
      </c>
      <c r="O68" s="32" t="s">
        <v>164</v>
      </c>
      <c r="P68" s="32" t="s">
        <v>607</v>
      </c>
    </row>
    <row r="69" spans="1:16" ht="409.6" customHeight="1" x14ac:dyDescent="0.25">
      <c r="A69" s="32">
        <v>67</v>
      </c>
      <c r="B69" s="32" t="s">
        <v>633</v>
      </c>
      <c r="C69" s="32"/>
      <c r="D69" s="32" t="s">
        <v>634</v>
      </c>
      <c r="E69" s="32" t="s">
        <v>635</v>
      </c>
      <c r="F69" s="32" t="s">
        <v>636</v>
      </c>
      <c r="G69" s="32" t="s">
        <v>637</v>
      </c>
      <c r="H69" s="32" t="s">
        <v>638</v>
      </c>
      <c r="I69" s="32">
        <v>4</v>
      </c>
      <c r="J69" s="32" t="s">
        <v>639</v>
      </c>
      <c r="K69" s="32"/>
      <c r="L69" s="32" t="s">
        <v>92</v>
      </c>
      <c r="M69" s="32" t="s">
        <v>29</v>
      </c>
      <c r="N69" s="32" t="s">
        <v>640</v>
      </c>
      <c r="O69" s="32" t="s">
        <v>164</v>
      </c>
      <c r="P69" s="32" t="s">
        <v>607</v>
      </c>
    </row>
    <row r="70" spans="1:16" ht="409.6" customHeight="1" x14ac:dyDescent="0.25">
      <c r="A70" s="32">
        <v>68</v>
      </c>
      <c r="B70" s="32" t="s">
        <v>641</v>
      </c>
      <c r="C70" s="32"/>
      <c r="D70" s="32" t="s">
        <v>642</v>
      </c>
      <c r="E70" s="32" t="s">
        <v>643</v>
      </c>
      <c r="F70" s="32" t="s">
        <v>644</v>
      </c>
      <c r="G70" s="32" t="s">
        <v>645</v>
      </c>
      <c r="H70" s="32" t="s">
        <v>646</v>
      </c>
      <c r="I70" s="32">
        <v>2</v>
      </c>
      <c r="J70" s="32" t="s">
        <v>647</v>
      </c>
      <c r="K70" s="32"/>
      <c r="L70" s="32" t="s">
        <v>92</v>
      </c>
      <c r="M70" s="32" t="s">
        <v>29</v>
      </c>
      <c r="N70" s="32" t="s">
        <v>648</v>
      </c>
      <c r="O70" s="32" t="s">
        <v>164</v>
      </c>
      <c r="P70" s="32" t="s">
        <v>607</v>
      </c>
    </row>
    <row r="71" spans="1:16" ht="409.6" customHeight="1" x14ac:dyDescent="0.25">
      <c r="A71" s="32">
        <v>69</v>
      </c>
      <c r="B71" s="32" t="s">
        <v>649</v>
      </c>
      <c r="C71" s="32"/>
      <c r="D71" s="32" t="s">
        <v>650</v>
      </c>
      <c r="E71" s="32" t="s">
        <v>651</v>
      </c>
      <c r="F71" s="32" t="s">
        <v>652</v>
      </c>
      <c r="G71" s="32" t="s">
        <v>653</v>
      </c>
      <c r="H71" s="32" t="s">
        <v>654</v>
      </c>
      <c r="I71" s="32">
        <v>5</v>
      </c>
      <c r="J71" s="32" t="s">
        <v>655</v>
      </c>
      <c r="K71" s="32"/>
      <c r="L71" s="32" t="s">
        <v>92</v>
      </c>
      <c r="M71" s="32" t="s">
        <v>29</v>
      </c>
      <c r="N71" s="32" t="s">
        <v>656</v>
      </c>
      <c r="O71" s="32" t="s">
        <v>164</v>
      </c>
      <c r="P71" s="32" t="s">
        <v>607</v>
      </c>
    </row>
    <row r="72" spans="1:16" ht="409.6" customHeight="1" x14ac:dyDescent="0.25">
      <c r="A72" s="32">
        <v>70</v>
      </c>
      <c r="B72" s="32" t="s">
        <v>657</v>
      </c>
      <c r="C72" s="32"/>
      <c r="D72" s="32" t="s">
        <v>658</v>
      </c>
      <c r="E72" s="32" t="s">
        <v>659</v>
      </c>
      <c r="F72" s="32" t="s">
        <v>660</v>
      </c>
      <c r="G72" s="32" t="s">
        <v>661</v>
      </c>
      <c r="H72" s="32" t="s">
        <v>662</v>
      </c>
      <c r="I72" s="32">
        <v>3</v>
      </c>
      <c r="J72" s="32" t="s">
        <v>663</v>
      </c>
      <c r="K72" s="32"/>
      <c r="L72" s="32" t="s">
        <v>92</v>
      </c>
      <c r="M72" s="32" t="s">
        <v>29</v>
      </c>
      <c r="N72" s="32" t="s">
        <v>664</v>
      </c>
      <c r="O72" s="32" t="s">
        <v>164</v>
      </c>
      <c r="P72" s="32" t="s">
        <v>607</v>
      </c>
    </row>
    <row r="73" spans="1:16" ht="409.6" customHeight="1" x14ac:dyDescent="0.25">
      <c r="A73" s="32">
        <v>71</v>
      </c>
      <c r="B73" s="32" t="s">
        <v>665</v>
      </c>
      <c r="C73" s="32"/>
      <c r="D73" s="32" t="s">
        <v>191</v>
      </c>
      <c r="E73" s="32" t="s">
        <v>189</v>
      </c>
      <c r="F73" s="32" t="s">
        <v>190</v>
      </c>
      <c r="G73" s="32" t="s">
        <v>666</v>
      </c>
      <c r="H73" s="32" t="s">
        <v>192</v>
      </c>
      <c r="I73" s="32">
        <v>4</v>
      </c>
      <c r="J73" s="32" t="s">
        <v>667</v>
      </c>
      <c r="K73" s="32"/>
      <c r="L73" s="32" t="s">
        <v>92</v>
      </c>
      <c r="M73" s="32" t="s">
        <v>29</v>
      </c>
      <c r="N73" s="32" t="s">
        <v>668</v>
      </c>
      <c r="O73" s="32" t="s">
        <v>164</v>
      </c>
      <c r="P73" s="32" t="s">
        <v>669</v>
      </c>
    </row>
    <row r="74" spans="1:16" ht="409.6" customHeight="1" x14ac:dyDescent="0.25">
      <c r="A74" s="32">
        <v>72</v>
      </c>
      <c r="B74" s="32" t="s">
        <v>670</v>
      </c>
      <c r="C74" s="32"/>
      <c r="D74" s="32" t="s">
        <v>276</v>
      </c>
      <c r="E74" s="32" t="s">
        <v>160</v>
      </c>
      <c r="F74" s="32" t="s">
        <v>362</v>
      </c>
      <c r="G74" s="32" t="s">
        <v>157</v>
      </c>
      <c r="H74" s="32" t="s">
        <v>161</v>
      </c>
      <c r="I74" s="32">
        <v>3</v>
      </c>
      <c r="J74" s="32" t="s">
        <v>671</v>
      </c>
      <c r="K74" s="32"/>
      <c r="L74" s="32" t="s">
        <v>92</v>
      </c>
      <c r="M74" s="32" t="s">
        <v>29</v>
      </c>
      <c r="N74" s="32" t="s">
        <v>672</v>
      </c>
      <c r="O74" s="32" t="s">
        <v>164</v>
      </c>
      <c r="P74" s="32" t="s">
        <v>669</v>
      </c>
    </row>
    <row r="75" spans="1:16" ht="409.6" customHeight="1" x14ac:dyDescent="0.25">
      <c r="A75" s="32">
        <v>73</v>
      </c>
      <c r="B75" s="32" t="s">
        <v>673</v>
      </c>
      <c r="C75" s="32"/>
      <c r="D75" s="32" t="s">
        <v>674</v>
      </c>
      <c r="E75" s="32" t="s">
        <v>675</v>
      </c>
      <c r="F75" s="32" t="s">
        <v>161</v>
      </c>
      <c r="G75" s="32" t="s">
        <v>276</v>
      </c>
      <c r="H75" s="32" t="s">
        <v>157</v>
      </c>
      <c r="I75" s="32">
        <v>3</v>
      </c>
      <c r="J75" s="32" t="s">
        <v>676</v>
      </c>
      <c r="K75" s="32"/>
      <c r="L75" s="32" t="s">
        <v>92</v>
      </c>
      <c r="M75" s="32" t="s">
        <v>29</v>
      </c>
      <c r="N75" s="32" t="s">
        <v>677</v>
      </c>
      <c r="O75" s="32" t="s">
        <v>164</v>
      </c>
      <c r="P75" s="32" t="s">
        <v>669</v>
      </c>
    </row>
    <row r="76" spans="1:16" ht="409.6" customHeight="1" x14ac:dyDescent="0.25">
      <c r="A76" s="32">
        <v>74</v>
      </c>
      <c r="B76" s="32" t="s">
        <v>678</v>
      </c>
      <c r="C76" s="32"/>
      <c r="D76" s="32" t="s">
        <v>679</v>
      </c>
      <c r="E76" s="32" t="s">
        <v>680</v>
      </c>
      <c r="F76" s="32" t="s">
        <v>681</v>
      </c>
      <c r="G76" s="32" t="s">
        <v>682</v>
      </c>
      <c r="H76" s="32" t="s">
        <v>683</v>
      </c>
      <c r="I76" s="32">
        <v>5</v>
      </c>
      <c r="J76" s="32" t="s">
        <v>684</v>
      </c>
      <c r="K76" s="32"/>
      <c r="L76" s="32" t="s">
        <v>92</v>
      </c>
      <c r="M76" s="32" t="s">
        <v>29</v>
      </c>
      <c r="N76" s="32" t="s">
        <v>685</v>
      </c>
      <c r="O76" s="32" t="s">
        <v>164</v>
      </c>
      <c r="P76" s="32" t="s">
        <v>669</v>
      </c>
    </row>
    <row r="77" spans="1:16" ht="409.6" customHeight="1" x14ac:dyDescent="0.25">
      <c r="A77" s="32">
        <v>75</v>
      </c>
      <c r="B77" s="32" t="s">
        <v>686</v>
      </c>
      <c r="C77" s="32"/>
      <c r="D77" s="32" t="s">
        <v>283</v>
      </c>
      <c r="E77" s="32" t="s">
        <v>687</v>
      </c>
      <c r="F77" s="32" t="s">
        <v>688</v>
      </c>
      <c r="G77" s="32" t="s">
        <v>674</v>
      </c>
      <c r="H77" s="32" t="s">
        <v>689</v>
      </c>
      <c r="I77" s="32">
        <v>1</v>
      </c>
      <c r="J77" s="32" t="s">
        <v>690</v>
      </c>
      <c r="K77" s="32"/>
      <c r="L77" s="32" t="s">
        <v>189</v>
      </c>
      <c r="M77" s="32" t="s">
        <v>29</v>
      </c>
      <c r="N77" s="32" t="s">
        <v>691</v>
      </c>
      <c r="O77" s="32" t="s">
        <v>164</v>
      </c>
      <c r="P77" s="32" t="s">
        <v>669</v>
      </c>
    </row>
    <row r="78" spans="1:16" ht="409.6" customHeight="1" x14ac:dyDescent="0.25">
      <c r="A78" s="32">
        <v>76</v>
      </c>
      <c r="B78" s="32" t="s">
        <v>692</v>
      </c>
      <c r="C78" s="32"/>
      <c r="D78" s="32" t="s">
        <v>693</v>
      </c>
      <c r="E78" s="32" t="s">
        <v>694</v>
      </c>
      <c r="F78" s="32" t="s">
        <v>695</v>
      </c>
      <c r="G78" s="32" t="s">
        <v>696</v>
      </c>
      <c r="H78" s="32" t="s">
        <v>697</v>
      </c>
      <c r="I78" s="32">
        <v>5</v>
      </c>
      <c r="J78" s="32" t="s">
        <v>698</v>
      </c>
      <c r="K78" s="32"/>
      <c r="L78" s="32" t="s">
        <v>189</v>
      </c>
      <c r="M78" s="32" t="s">
        <v>29</v>
      </c>
      <c r="N78" s="32" t="s">
        <v>699</v>
      </c>
      <c r="O78" s="32" t="s">
        <v>164</v>
      </c>
      <c r="P78" s="32" t="s">
        <v>669</v>
      </c>
    </row>
    <row r="79" spans="1:16" ht="409.6" customHeight="1" x14ac:dyDescent="0.25">
      <c r="A79" s="32">
        <v>77</v>
      </c>
      <c r="B79" s="32" t="s">
        <v>700</v>
      </c>
      <c r="C79" s="32"/>
      <c r="D79" s="32" t="s">
        <v>701</v>
      </c>
      <c r="E79" s="32" t="s">
        <v>702</v>
      </c>
      <c r="F79" s="32" t="s">
        <v>703</v>
      </c>
      <c r="G79" s="32" t="s">
        <v>704</v>
      </c>
      <c r="H79" s="32" t="s">
        <v>705</v>
      </c>
      <c r="I79" s="32">
        <v>4</v>
      </c>
      <c r="J79" s="32" t="s">
        <v>706</v>
      </c>
      <c r="K79" s="32"/>
      <c r="L79" s="32" t="s">
        <v>522</v>
      </c>
      <c r="M79" s="32" t="s">
        <v>29</v>
      </c>
      <c r="N79" s="32" t="s">
        <v>707</v>
      </c>
      <c r="O79" s="32" t="s">
        <v>164</v>
      </c>
      <c r="P79" s="32" t="s">
        <v>669</v>
      </c>
    </row>
    <row r="80" spans="1:16" ht="409.6" customHeight="1" x14ac:dyDescent="0.25">
      <c r="A80" s="32">
        <v>78</v>
      </c>
      <c r="B80" s="32" t="s">
        <v>708</v>
      </c>
      <c r="C80" s="32"/>
      <c r="D80" s="32" t="s">
        <v>709</v>
      </c>
      <c r="E80" s="32" t="s">
        <v>710</v>
      </c>
      <c r="F80" s="32" t="s">
        <v>711</v>
      </c>
      <c r="G80" s="32" t="s">
        <v>712</v>
      </c>
      <c r="H80" s="32" t="s">
        <v>713</v>
      </c>
      <c r="I80" s="32">
        <v>2</v>
      </c>
      <c r="J80" s="32" t="s">
        <v>714</v>
      </c>
      <c r="K80" s="32"/>
      <c r="L80" s="32" t="s">
        <v>189</v>
      </c>
      <c r="M80" s="32" t="s">
        <v>29</v>
      </c>
      <c r="N80" s="32" t="s">
        <v>715</v>
      </c>
      <c r="O80" s="32" t="s">
        <v>164</v>
      </c>
      <c r="P80" s="32" t="s">
        <v>669</v>
      </c>
    </row>
    <row r="81" spans="1:16" ht="409.6" customHeight="1" x14ac:dyDescent="0.25">
      <c r="A81" s="32">
        <v>79</v>
      </c>
      <c r="B81" s="32" t="s">
        <v>716</v>
      </c>
      <c r="C81" s="32"/>
      <c r="D81" s="32" t="s">
        <v>717</v>
      </c>
      <c r="E81" s="32" t="s">
        <v>718</v>
      </c>
      <c r="F81" s="32" t="s">
        <v>719</v>
      </c>
      <c r="G81" s="32" t="s">
        <v>720</v>
      </c>
      <c r="H81" s="32" t="s">
        <v>721</v>
      </c>
      <c r="I81" s="32">
        <v>3</v>
      </c>
      <c r="J81" s="32" t="s">
        <v>722</v>
      </c>
      <c r="K81" s="32"/>
      <c r="L81" s="32" t="s">
        <v>189</v>
      </c>
      <c r="M81" s="32" t="s">
        <v>29</v>
      </c>
      <c r="N81" s="32" t="s">
        <v>723</v>
      </c>
      <c r="O81" s="32" t="s">
        <v>164</v>
      </c>
      <c r="P81" s="32" t="s">
        <v>669</v>
      </c>
    </row>
    <row r="82" spans="1:16" ht="409.6" customHeight="1" x14ac:dyDescent="0.25">
      <c r="A82" s="32">
        <v>80</v>
      </c>
      <c r="B82" s="32" t="s">
        <v>724</v>
      </c>
      <c r="C82" s="32"/>
      <c r="D82" s="32" t="s">
        <v>725</v>
      </c>
      <c r="E82" s="32" t="s">
        <v>726</v>
      </c>
      <c r="F82" s="32" t="s">
        <v>727</v>
      </c>
      <c r="G82" s="32" t="s">
        <v>728</v>
      </c>
      <c r="H82" s="32" t="s">
        <v>729</v>
      </c>
      <c r="I82" s="32">
        <v>5</v>
      </c>
      <c r="J82" s="32" t="s">
        <v>730</v>
      </c>
      <c r="K82" s="32"/>
      <c r="L82" s="32" t="s">
        <v>92</v>
      </c>
      <c r="M82" s="32" t="s">
        <v>29</v>
      </c>
      <c r="N82" s="32" t="s">
        <v>731</v>
      </c>
      <c r="O82" s="32" t="s">
        <v>164</v>
      </c>
      <c r="P82" s="32" t="s">
        <v>669</v>
      </c>
    </row>
    <row r="83" spans="1:16" ht="409.6" customHeight="1" x14ac:dyDescent="0.25">
      <c r="A83" s="32">
        <v>81</v>
      </c>
      <c r="B83" s="32" t="s">
        <v>732</v>
      </c>
      <c r="C83" s="32"/>
      <c r="D83" s="32" t="s">
        <v>161</v>
      </c>
      <c r="E83" s="32" t="s">
        <v>733</v>
      </c>
      <c r="F83" s="32" t="s">
        <v>362</v>
      </c>
      <c r="G83" s="32" t="s">
        <v>674</v>
      </c>
      <c r="H83" s="32" t="s">
        <v>160</v>
      </c>
      <c r="I83" s="32">
        <v>3</v>
      </c>
      <c r="J83" s="32" t="s">
        <v>734</v>
      </c>
      <c r="K83" s="32"/>
      <c r="L83" s="32" t="s">
        <v>92</v>
      </c>
      <c r="M83" s="32" t="s">
        <v>29</v>
      </c>
      <c r="N83" s="32" t="s">
        <v>735</v>
      </c>
      <c r="O83" s="32" t="s">
        <v>164</v>
      </c>
      <c r="P83" s="32" t="s">
        <v>669</v>
      </c>
    </row>
    <row r="84" spans="1:16" ht="409.6" customHeight="1" x14ac:dyDescent="0.25">
      <c r="A84" s="32">
        <v>82</v>
      </c>
      <c r="B84" s="32" t="s">
        <v>736</v>
      </c>
      <c r="C84" s="32"/>
      <c r="D84" s="32" t="s">
        <v>737</v>
      </c>
      <c r="E84" s="32" t="s">
        <v>738</v>
      </c>
      <c r="F84" s="32" t="s">
        <v>559</v>
      </c>
      <c r="G84" s="32" t="s">
        <v>739</v>
      </c>
      <c r="H84" s="32" t="s">
        <v>740</v>
      </c>
      <c r="I84" s="32">
        <v>4</v>
      </c>
      <c r="J84" s="32" t="s">
        <v>741</v>
      </c>
      <c r="K84" s="32"/>
      <c r="L84" s="32" t="s">
        <v>92</v>
      </c>
      <c r="M84" s="32" t="s">
        <v>29</v>
      </c>
      <c r="N84" s="32" t="s">
        <v>742</v>
      </c>
      <c r="O84" s="32" t="s">
        <v>164</v>
      </c>
      <c r="P84" s="32" t="s">
        <v>669</v>
      </c>
    </row>
    <row r="85" spans="1:16" ht="409.6" customHeight="1" x14ac:dyDescent="0.25">
      <c r="A85" s="32">
        <v>83</v>
      </c>
      <c r="B85" s="32" t="s">
        <v>743</v>
      </c>
      <c r="C85" s="32"/>
      <c r="D85" s="32" t="s">
        <v>161</v>
      </c>
      <c r="E85" s="32" t="s">
        <v>362</v>
      </c>
      <c r="F85" s="32" t="s">
        <v>738</v>
      </c>
      <c r="G85" s="32" t="s">
        <v>559</v>
      </c>
      <c r="H85" s="32" t="s">
        <v>158</v>
      </c>
      <c r="I85" s="32">
        <v>3</v>
      </c>
      <c r="J85" s="32" t="s">
        <v>744</v>
      </c>
      <c r="K85" s="32"/>
      <c r="L85" s="32" t="s">
        <v>92</v>
      </c>
      <c r="M85" s="32" t="s">
        <v>29</v>
      </c>
      <c r="N85" s="32" t="s">
        <v>745</v>
      </c>
      <c r="O85" s="32" t="s">
        <v>164</v>
      </c>
      <c r="P85" s="32" t="s">
        <v>669</v>
      </c>
    </row>
    <row r="86" spans="1:16" ht="409.6" customHeight="1" x14ac:dyDescent="0.25">
      <c r="A86" s="32">
        <v>84</v>
      </c>
      <c r="B86" s="32" t="s">
        <v>746</v>
      </c>
      <c r="C86" s="32"/>
      <c r="D86" s="32" t="s">
        <v>733</v>
      </c>
      <c r="E86" s="32" t="s">
        <v>459</v>
      </c>
      <c r="F86" s="32" t="s">
        <v>559</v>
      </c>
      <c r="G86" s="32" t="s">
        <v>747</v>
      </c>
      <c r="H86" s="32" t="s">
        <v>560</v>
      </c>
      <c r="I86" s="32">
        <v>1</v>
      </c>
      <c r="J86" s="32" t="s">
        <v>748</v>
      </c>
      <c r="K86" s="32"/>
      <c r="L86" s="32" t="s">
        <v>92</v>
      </c>
      <c r="M86" s="32" t="s">
        <v>29</v>
      </c>
      <c r="N86" s="32" t="s">
        <v>749</v>
      </c>
      <c r="O86" s="32" t="s">
        <v>164</v>
      </c>
      <c r="P86" s="32" t="s">
        <v>669</v>
      </c>
    </row>
    <row r="87" spans="1:16" ht="409.6" customHeight="1" x14ac:dyDescent="0.25">
      <c r="A87" s="32">
        <v>85</v>
      </c>
      <c r="B87" s="32" t="s">
        <v>750</v>
      </c>
      <c r="C87" s="32"/>
      <c r="D87" s="32" t="s">
        <v>751</v>
      </c>
      <c r="E87" s="32" t="s">
        <v>752</v>
      </c>
      <c r="F87" s="32" t="s">
        <v>753</v>
      </c>
      <c r="G87" s="32" t="s">
        <v>754</v>
      </c>
      <c r="H87" s="32" t="s">
        <v>755</v>
      </c>
      <c r="I87" s="32">
        <v>3</v>
      </c>
      <c r="J87" s="32" t="s">
        <v>756</v>
      </c>
      <c r="K87" s="32"/>
      <c r="L87" s="32" t="s">
        <v>92</v>
      </c>
      <c r="M87" s="32" t="s">
        <v>29</v>
      </c>
      <c r="N87" s="32" t="s">
        <v>757</v>
      </c>
      <c r="O87" s="32" t="s">
        <v>164</v>
      </c>
      <c r="P87" s="32" t="s">
        <v>669</v>
      </c>
    </row>
    <row r="88" spans="1:16" ht="409.6" customHeight="1" x14ac:dyDescent="0.25">
      <c r="A88" s="32">
        <v>86</v>
      </c>
      <c r="B88" s="32" t="s">
        <v>758</v>
      </c>
      <c r="C88" s="32"/>
      <c r="D88" s="32" t="s">
        <v>759</v>
      </c>
      <c r="E88" s="32" t="s">
        <v>760</v>
      </c>
      <c r="F88" s="32" t="s">
        <v>761</v>
      </c>
      <c r="G88" s="32" t="s">
        <v>762</v>
      </c>
      <c r="H88" s="32" t="s">
        <v>763</v>
      </c>
      <c r="I88" s="32">
        <v>2</v>
      </c>
      <c r="J88" s="32" t="s">
        <v>764</v>
      </c>
      <c r="K88" s="32"/>
      <c r="L88" s="32" t="s">
        <v>92</v>
      </c>
      <c r="M88" s="32" t="s">
        <v>29</v>
      </c>
      <c r="N88" s="32" t="s">
        <v>765</v>
      </c>
      <c r="O88" s="32" t="s">
        <v>164</v>
      </c>
      <c r="P88" s="32" t="s">
        <v>669</v>
      </c>
    </row>
    <row r="89" spans="1:16" ht="409.6" customHeight="1" x14ac:dyDescent="0.25">
      <c r="A89" s="32">
        <v>87</v>
      </c>
      <c r="B89" s="32" t="s">
        <v>766</v>
      </c>
      <c r="C89" s="32"/>
      <c r="D89" s="32" t="s">
        <v>675</v>
      </c>
      <c r="E89" s="32" t="s">
        <v>362</v>
      </c>
      <c r="F89" s="32" t="s">
        <v>767</v>
      </c>
      <c r="G89" s="32" t="s">
        <v>768</v>
      </c>
      <c r="H89" s="32" t="s">
        <v>769</v>
      </c>
      <c r="I89" s="32">
        <v>1</v>
      </c>
      <c r="J89" s="32" t="s">
        <v>770</v>
      </c>
      <c r="K89" s="32"/>
      <c r="L89" s="32" t="s">
        <v>92</v>
      </c>
      <c r="M89" s="32" t="s">
        <v>29</v>
      </c>
      <c r="N89" s="32" t="s">
        <v>771</v>
      </c>
      <c r="O89" s="32" t="s">
        <v>164</v>
      </c>
      <c r="P89" s="32" t="s">
        <v>669</v>
      </c>
    </row>
    <row r="90" spans="1:16" ht="396" customHeight="1" x14ac:dyDescent="0.25">
      <c r="A90" s="32">
        <v>88</v>
      </c>
      <c r="B90" s="32" t="s">
        <v>772</v>
      </c>
      <c r="C90" s="32"/>
      <c r="D90" s="32" t="s">
        <v>191</v>
      </c>
      <c r="E90" s="32" t="s">
        <v>189</v>
      </c>
      <c r="F90" s="32" t="s">
        <v>773</v>
      </c>
      <c r="G90" s="32" t="s">
        <v>190</v>
      </c>
      <c r="H90" s="32" t="s">
        <v>192</v>
      </c>
      <c r="I90" s="32">
        <v>3</v>
      </c>
      <c r="J90" s="32" t="s">
        <v>774</v>
      </c>
      <c r="K90" s="32"/>
      <c r="L90" s="32" t="s">
        <v>92</v>
      </c>
      <c r="M90" s="32" t="s">
        <v>29</v>
      </c>
      <c r="N90" s="32" t="s">
        <v>775</v>
      </c>
      <c r="O90" s="32" t="s">
        <v>164</v>
      </c>
      <c r="P90" s="32" t="s">
        <v>669</v>
      </c>
    </row>
    <row r="91" spans="1:16" ht="409.6" customHeight="1" x14ac:dyDescent="0.25">
      <c r="A91" s="32">
        <v>89</v>
      </c>
      <c r="B91" s="32" t="s">
        <v>776</v>
      </c>
      <c r="C91" s="32"/>
      <c r="D91" s="32" t="s">
        <v>777</v>
      </c>
      <c r="E91" s="32" t="s">
        <v>778</v>
      </c>
      <c r="F91" s="32" t="s">
        <v>779</v>
      </c>
      <c r="G91" s="32" t="s">
        <v>780</v>
      </c>
      <c r="H91" s="32" t="s">
        <v>781</v>
      </c>
      <c r="I91" s="32">
        <v>5</v>
      </c>
      <c r="J91" s="32" t="s">
        <v>782</v>
      </c>
      <c r="K91" s="32"/>
      <c r="L91" s="32" t="s">
        <v>92</v>
      </c>
      <c r="M91" s="32" t="s">
        <v>29</v>
      </c>
      <c r="N91" s="32" t="s">
        <v>783</v>
      </c>
      <c r="O91" s="32" t="s">
        <v>164</v>
      </c>
      <c r="P91" s="32" t="s">
        <v>669</v>
      </c>
    </row>
    <row r="92" spans="1:16" ht="409.6" customHeight="1" x14ac:dyDescent="0.25">
      <c r="A92" s="32">
        <v>90</v>
      </c>
      <c r="B92" s="32" t="s">
        <v>784</v>
      </c>
      <c r="C92" s="32"/>
      <c r="D92" s="32" t="s">
        <v>785</v>
      </c>
      <c r="E92" s="32" t="s">
        <v>786</v>
      </c>
      <c r="F92" s="32" t="s">
        <v>330</v>
      </c>
      <c r="G92" s="32" t="s">
        <v>787</v>
      </c>
      <c r="H92" s="32" t="s">
        <v>781</v>
      </c>
      <c r="I92" s="32">
        <v>5</v>
      </c>
      <c r="J92" s="32" t="s">
        <v>788</v>
      </c>
      <c r="K92" s="32"/>
      <c r="L92" s="32" t="s">
        <v>92</v>
      </c>
      <c r="M92" s="32" t="s">
        <v>29</v>
      </c>
      <c r="N92" s="32" t="s">
        <v>789</v>
      </c>
      <c r="O92" s="32" t="s">
        <v>164</v>
      </c>
      <c r="P92" s="32" t="s">
        <v>669</v>
      </c>
    </row>
    <row r="93" spans="1:16" ht="409.6" customHeight="1" x14ac:dyDescent="0.25">
      <c r="A93" s="32">
        <v>91</v>
      </c>
      <c r="B93" s="32" t="s">
        <v>790</v>
      </c>
      <c r="C93" s="32"/>
      <c r="D93" s="32" t="s">
        <v>733</v>
      </c>
      <c r="E93" s="32" t="s">
        <v>362</v>
      </c>
      <c r="F93" s="32" t="s">
        <v>767</v>
      </c>
      <c r="G93" s="32" t="s">
        <v>768</v>
      </c>
      <c r="H93" s="32" t="s">
        <v>791</v>
      </c>
      <c r="I93" s="32">
        <v>2</v>
      </c>
      <c r="J93" s="32" t="s">
        <v>792</v>
      </c>
      <c r="K93" s="32"/>
      <c r="L93" s="32" t="s">
        <v>92</v>
      </c>
      <c r="M93" s="32" t="s">
        <v>29</v>
      </c>
      <c r="N93" s="32" t="s">
        <v>793</v>
      </c>
      <c r="O93" s="32" t="s">
        <v>164</v>
      </c>
      <c r="P93" s="32" t="s">
        <v>669</v>
      </c>
    </row>
    <row r="94" spans="1:16" ht="409.6" customHeight="1" x14ac:dyDescent="0.25">
      <c r="A94" s="32">
        <v>92</v>
      </c>
      <c r="B94" s="32" t="s">
        <v>794</v>
      </c>
      <c r="C94" s="32"/>
      <c r="D94" s="32" t="s">
        <v>795</v>
      </c>
      <c r="E94" s="32" t="s">
        <v>796</v>
      </c>
      <c r="F94" s="32" t="s">
        <v>797</v>
      </c>
      <c r="G94" s="32" t="s">
        <v>798</v>
      </c>
      <c r="H94" s="32" t="s">
        <v>799</v>
      </c>
      <c r="I94" s="32">
        <v>5</v>
      </c>
      <c r="J94" s="32" t="s">
        <v>800</v>
      </c>
      <c r="K94" s="32"/>
      <c r="L94" s="32" t="s">
        <v>92</v>
      </c>
      <c r="M94" s="32" t="s">
        <v>29</v>
      </c>
      <c r="N94" s="32" t="s">
        <v>801</v>
      </c>
      <c r="O94" s="32" t="s">
        <v>164</v>
      </c>
      <c r="P94" s="32" t="s">
        <v>669</v>
      </c>
    </row>
    <row r="95" spans="1:16" ht="409.6" customHeight="1" x14ac:dyDescent="0.25">
      <c r="A95" s="32">
        <v>93</v>
      </c>
      <c r="B95" s="32" t="s">
        <v>802</v>
      </c>
      <c r="C95" s="32"/>
      <c r="D95" s="32" t="s">
        <v>679</v>
      </c>
      <c r="E95" s="32" t="s">
        <v>803</v>
      </c>
      <c r="F95" s="32" t="s">
        <v>804</v>
      </c>
      <c r="G95" s="32" t="s">
        <v>681</v>
      </c>
      <c r="H95" s="32" t="s">
        <v>805</v>
      </c>
      <c r="I95" s="32">
        <v>5</v>
      </c>
      <c r="J95" s="32" t="s">
        <v>806</v>
      </c>
      <c r="K95" s="32"/>
      <c r="L95" s="32" t="s">
        <v>92</v>
      </c>
      <c r="M95" s="32" t="s">
        <v>29</v>
      </c>
      <c r="N95" s="32" t="s">
        <v>807</v>
      </c>
      <c r="O95" s="32" t="s">
        <v>164</v>
      </c>
      <c r="P95" s="32" t="s">
        <v>669</v>
      </c>
    </row>
    <row r="96" spans="1:16" ht="409.6" customHeight="1" x14ac:dyDescent="0.25">
      <c r="A96" s="32">
        <v>94</v>
      </c>
      <c r="B96" s="32" t="s">
        <v>808</v>
      </c>
      <c r="C96" s="32"/>
      <c r="D96" s="32" t="s">
        <v>809</v>
      </c>
      <c r="E96" s="32" t="s">
        <v>810</v>
      </c>
      <c r="F96" s="32" t="s">
        <v>811</v>
      </c>
      <c r="G96" s="32" t="s">
        <v>812</v>
      </c>
      <c r="H96" s="32" t="s">
        <v>813</v>
      </c>
      <c r="I96" s="32">
        <v>1</v>
      </c>
      <c r="J96" s="32" t="s">
        <v>814</v>
      </c>
      <c r="K96" s="32"/>
      <c r="L96" s="32" t="s">
        <v>92</v>
      </c>
      <c r="M96" s="32" t="s">
        <v>29</v>
      </c>
      <c r="N96" s="32" t="s">
        <v>815</v>
      </c>
      <c r="O96" s="32" t="s">
        <v>816</v>
      </c>
      <c r="P96" s="32" t="s">
        <v>669</v>
      </c>
    </row>
    <row r="97" spans="1:16" ht="409.6" customHeight="1" x14ac:dyDescent="0.25">
      <c r="A97" s="32">
        <v>95</v>
      </c>
      <c r="B97" s="32" t="s">
        <v>817</v>
      </c>
      <c r="C97" s="32"/>
      <c r="D97" s="32" t="s">
        <v>818</v>
      </c>
      <c r="E97" s="32" t="s">
        <v>819</v>
      </c>
      <c r="F97" s="32" t="s">
        <v>820</v>
      </c>
      <c r="G97" s="32" t="s">
        <v>821</v>
      </c>
      <c r="H97" s="32" t="s">
        <v>822</v>
      </c>
      <c r="I97" s="32">
        <v>4</v>
      </c>
      <c r="J97" s="32" t="s">
        <v>823</v>
      </c>
      <c r="K97" s="32"/>
      <c r="L97" s="32" t="s">
        <v>824</v>
      </c>
      <c r="M97" s="32" t="s">
        <v>29</v>
      </c>
      <c r="N97" s="32" t="s">
        <v>825</v>
      </c>
      <c r="O97" s="32" t="s">
        <v>816</v>
      </c>
      <c r="P97" s="32" t="s">
        <v>669</v>
      </c>
    </row>
    <row r="98" spans="1:16" ht="409.6" customHeight="1" x14ac:dyDescent="0.25">
      <c r="A98" s="32">
        <v>96</v>
      </c>
      <c r="B98" s="32" t="s">
        <v>826</v>
      </c>
      <c r="C98" s="32"/>
      <c r="D98" s="32" t="s">
        <v>827</v>
      </c>
      <c r="E98" s="32" t="s">
        <v>92</v>
      </c>
      <c r="F98" s="32" t="s">
        <v>828</v>
      </c>
      <c r="G98" s="32" t="s">
        <v>189</v>
      </c>
      <c r="H98" s="32" t="s">
        <v>191</v>
      </c>
      <c r="I98" s="32">
        <v>2</v>
      </c>
      <c r="J98" s="32" t="s">
        <v>829</v>
      </c>
      <c r="K98" s="32"/>
      <c r="L98" s="32" t="s">
        <v>92</v>
      </c>
      <c r="M98" s="32" t="s">
        <v>29</v>
      </c>
      <c r="N98" s="32" t="s">
        <v>830</v>
      </c>
      <c r="O98" s="32" t="s">
        <v>816</v>
      </c>
      <c r="P98" s="32" t="s">
        <v>669</v>
      </c>
    </row>
    <row r="99" spans="1:16" ht="409.6" customHeight="1" x14ac:dyDescent="0.25">
      <c r="A99" s="32">
        <v>97</v>
      </c>
      <c r="B99" s="32" t="s">
        <v>831</v>
      </c>
      <c r="C99" s="32"/>
      <c r="D99" s="32" t="s">
        <v>832</v>
      </c>
      <c r="E99" s="32" t="s">
        <v>833</v>
      </c>
      <c r="F99" s="32" t="s">
        <v>834</v>
      </c>
      <c r="G99" s="32" t="s">
        <v>835</v>
      </c>
      <c r="H99" s="32" t="s">
        <v>727</v>
      </c>
      <c r="I99" s="32">
        <v>5</v>
      </c>
      <c r="J99" s="32" t="s">
        <v>836</v>
      </c>
      <c r="K99" s="32"/>
      <c r="L99" s="32" t="s">
        <v>92</v>
      </c>
      <c r="M99" s="32" t="s">
        <v>29</v>
      </c>
      <c r="N99" s="32" t="s">
        <v>837</v>
      </c>
      <c r="O99" s="32" t="s">
        <v>816</v>
      </c>
      <c r="P99" s="32" t="s">
        <v>669</v>
      </c>
    </row>
    <row r="100" spans="1:16" ht="409.6" customHeight="1" x14ac:dyDescent="0.25">
      <c r="A100" s="32">
        <v>98</v>
      </c>
      <c r="B100" s="32" t="s">
        <v>838</v>
      </c>
      <c r="C100" s="32"/>
      <c r="D100" s="32" t="s">
        <v>839</v>
      </c>
      <c r="E100" s="32" t="s">
        <v>161</v>
      </c>
      <c r="F100" s="32" t="s">
        <v>362</v>
      </c>
      <c r="G100" s="32" t="s">
        <v>157</v>
      </c>
      <c r="H100" s="32" t="s">
        <v>276</v>
      </c>
      <c r="I100" s="32">
        <v>1</v>
      </c>
      <c r="J100" s="32" t="s">
        <v>840</v>
      </c>
      <c r="K100" s="32"/>
      <c r="L100" s="32" t="s">
        <v>92</v>
      </c>
      <c r="M100" s="32" t="s">
        <v>29</v>
      </c>
      <c r="N100" s="32" t="s">
        <v>841</v>
      </c>
      <c r="O100" s="32" t="s">
        <v>816</v>
      </c>
      <c r="P100" s="32" t="s">
        <v>669</v>
      </c>
    </row>
    <row r="101" spans="1:16" ht="409.6" customHeight="1" x14ac:dyDescent="0.25">
      <c r="A101" s="32">
        <v>99</v>
      </c>
      <c r="B101" s="32" t="s">
        <v>842</v>
      </c>
      <c r="C101" s="32"/>
      <c r="D101" s="32" t="s">
        <v>843</v>
      </c>
      <c r="E101" s="32" t="s">
        <v>844</v>
      </c>
      <c r="F101" s="32" t="s">
        <v>845</v>
      </c>
      <c r="G101" s="32" t="s">
        <v>846</v>
      </c>
      <c r="H101" s="32" t="s">
        <v>847</v>
      </c>
      <c r="I101" s="32">
        <v>5</v>
      </c>
      <c r="J101" s="32" t="s">
        <v>848</v>
      </c>
      <c r="K101" s="32"/>
      <c r="L101" s="32" t="s">
        <v>92</v>
      </c>
      <c r="M101" s="32" t="s">
        <v>29</v>
      </c>
      <c r="N101" s="32" t="s">
        <v>849</v>
      </c>
      <c r="O101" s="32" t="s">
        <v>816</v>
      </c>
      <c r="P101" s="32" t="s">
        <v>669</v>
      </c>
    </row>
    <row r="102" spans="1:16" ht="409.6" customHeight="1" x14ac:dyDescent="0.25">
      <c r="A102" s="32">
        <v>100</v>
      </c>
      <c r="B102" s="32" t="s">
        <v>850</v>
      </c>
      <c r="C102" s="32"/>
      <c r="D102" s="32" t="s">
        <v>851</v>
      </c>
      <c r="E102" s="32" t="s">
        <v>852</v>
      </c>
      <c r="F102" s="32" t="s">
        <v>853</v>
      </c>
      <c r="G102" s="32" t="s">
        <v>854</v>
      </c>
      <c r="H102" s="32" t="s">
        <v>855</v>
      </c>
      <c r="I102" s="32">
        <v>5</v>
      </c>
      <c r="J102" s="32" t="s">
        <v>856</v>
      </c>
      <c r="K102" s="32"/>
      <c r="L102" s="32" t="s">
        <v>92</v>
      </c>
      <c r="M102" s="32" t="s">
        <v>29</v>
      </c>
      <c r="N102" s="32" t="s">
        <v>857</v>
      </c>
      <c r="O102" s="32" t="s">
        <v>816</v>
      </c>
      <c r="P102" s="32" t="s">
        <v>669</v>
      </c>
    </row>
    <row r="103" spans="1:16" ht="409.6" customHeight="1" x14ac:dyDescent="0.25">
      <c r="A103" s="32">
        <v>101</v>
      </c>
      <c r="B103" s="32" t="s">
        <v>858</v>
      </c>
      <c r="C103" s="32"/>
      <c r="D103" s="32" t="s">
        <v>859</v>
      </c>
      <c r="E103" s="32" t="s">
        <v>860</v>
      </c>
      <c r="F103" s="32" t="s">
        <v>861</v>
      </c>
      <c r="G103" s="32" t="s">
        <v>862</v>
      </c>
      <c r="H103" s="32" t="s">
        <v>863</v>
      </c>
      <c r="I103" s="32">
        <v>5</v>
      </c>
      <c r="J103" s="32" t="s">
        <v>864</v>
      </c>
      <c r="K103" s="32"/>
      <c r="L103" s="32" t="s">
        <v>92</v>
      </c>
      <c r="M103" s="32" t="s">
        <v>29</v>
      </c>
      <c r="N103" s="32" t="s">
        <v>865</v>
      </c>
      <c r="O103" s="32" t="s">
        <v>816</v>
      </c>
      <c r="P103" s="32" t="s">
        <v>669</v>
      </c>
    </row>
    <row r="104" spans="1:16" ht="409.6" customHeight="1" x14ac:dyDescent="0.25">
      <c r="A104" s="32">
        <v>102</v>
      </c>
      <c r="B104" s="32" t="s">
        <v>866</v>
      </c>
      <c r="C104" s="32"/>
      <c r="D104" s="32" t="s">
        <v>867</v>
      </c>
      <c r="E104" s="32" t="s">
        <v>868</v>
      </c>
      <c r="F104" s="32" t="s">
        <v>804</v>
      </c>
      <c r="G104" s="32" t="s">
        <v>869</v>
      </c>
      <c r="H104" s="32" t="s">
        <v>870</v>
      </c>
      <c r="I104" s="32">
        <v>3</v>
      </c>
      <c r="J104" s="32" t="s">
        <v>871</v>
      </c>
      <c r="K104" s="32"/>
      <c r="L104" s="32" t="s">
        <v>92</v>
      </c>
      <c r="M104" s="32" t="s">
        <v>29</v>
      </c>
      <c r="N104" s="32" t="s">
        <v>872</v>
      </c>
      <c r="O104" s="32" t="s">
        <v>816</v>
      </c>
      <c r="P104" s="32" t="s">
        <v>669</v>
      </c>
    </row>
    <row r="105" spans="1:16" ht="409.6" customHeight="1" x14ac:dyDescent="0.25">
      <c r="A105" s="32">
        <v>103</v>
      </c>
      <c r="B105" s="32" t="s">
        <v>873</v>
      </c>
      <c r="C105" s="32"/>
      <c r="D105" s="32" t="s">
        <v>347</v>
      </c>
      <c r="E105" s="32" t="s">
        <v>614</v>
      </c>
      <c r="F105" s="32" t="s">
        <v>874</v>
      </c>
      <c r="G105" s="32" t="s">
        <v>875</v>
      </c>
      <c r="H105" s="32" t="s">
        <v>345</v>
      </c>
      <c r="I105" s="32">
        <v>5</v>
      </c>
      <c r="J105" s="32" t="s">
        <v>876</v>
      </c>
      <c r="K105" s="32"/>
      <c r="L105" s="32" t="s">
        <v>287</v>
      </c>
      <c r="M105" s="32" t="s">
        <v>29</v>
      </c>
      <c r="N105" s="32" t="s">
        <v>877</v>
      </c>
      <c r="O105" s="32" t="s">
        <v>816</v>
      </c>
      <c r="P105" s="32" t="s">
        <v>669</v>
      </c>
    </row>
    <row r="106" spans="1:16" ht="409.6" customHeight="1" x14ac:dyDescent="0.25">
      <c r="A106" s="32">
        <v>104</v>
      </c>
      <c r="B106" s="32" t="s">
        <v>878</v>
      </c>
      <c r="C106" s="32"/>
      <c r="D106" s="32" t="s">
        <v>879</v>
      </c>
      <c r="E106" s="32" t="s">
        <v>880</v>
      </c>
      <c r="F106" s="32" t="s">
        <v>881</v>
      </c>
      <c r="G106" s="32" t="s">
        <v>882</v>
      </c>
      <c r="H106" s="32" t="s">
        <v>883</v>
      </c>
      <c r="I106" s="32">
        <v>4</v>
      </c>
      <c r="J106" s="32" t="s">
        <v>884</v>
      </c>
      <c r="K106" s="32"/>
      <c r="L106" s="32" t="s">
        <v>92</v>
      </c>
      <c r="M106" s="32" t="s">
        <v>29</v>
      </c>
      <c r="N106" s="32" t="s">
        <v>885</v>
      </c>
      <c r="O106" s="32" t="s">
        <v>816</v>
      </c>
      <c r="P106" s="32" t="s">
        <v>669</v>
      </c>
    </row>
    <row r="107" spans="1:16" ht="409.6" customHeight="1" x14ac:dyDescent="0.25">
      <c r="A107" s="32">
        <v>105</v>
      </c>
      <c r="B107" s="32" t="s">
        <v>886</v>
      </c>
      <c r="C107" s="32"/>
      <c r="D107" s="32" t="s">
        <v>887</v>
      </c>
      <c r="E107" s="32" t="s">
        <v>888</v>
      </c>
      <c r="F107" s="32" t="s">
        <v>889</v>
      </c>
      <c r="G107" s="32" t="s">
        <v>890</v>
      </c>
      <c r="H107" s="32" t="s">
        <v>891</v>
      </c>
      <c r="I107" s="32">
        <v>3</v>
      </c>
      <c r="J107" s="32" t="s">
        <v>892</v>
      </c>
      <c r="K107" s="32"/>
      <c r="L107" s="32" t="s">
        <v>92</v>
      </c>
      <c r="M107" s="32" t="s">
        <v>29</v>
      </c>
      <c r="N107" s="32" t="s">
        <v>893</v>
      </c>
      <c r="O107" s="32" t="s">
        <v>816</v>
      </c>
      <c r="P107" s="32" t="s">
        <v>669</v>
      </c>
    </row>
    <row r="108" spans="1:16" ht="409.6" customHeight="1" x14ac:dyDescent="0.25">
      <c r="A108" s="32">
        <v>106</v>
      </c>
      <c r="B108" s="32" t="s">
        <v>894</v>
      </c>
      <c r="C108" s="32"/>
      <c r="D108" s="32" t="s">
        <v>895</v>
      </c>
      <c r="E108" s="32" t="s">
        <v>896</v>
      </c>
      <c r="F108" s="32" t="s">
        <v>897</v>
      </c>
      <c r="G108" s="32" t="s">
        <v>898</v>
      </c>
      <c r="H108" s="32" t="s">
        <v>899</v>
      </c>
      <c r="I108" s="32">
        <v>4</v>
      </c>
      <c r="J108" s="32" t="s">
        <v>900</v>
      </c>
      <c r="K108" s="32"/>
      <c r="L108" s="32" t="s">
        <v>92</v>
      </c>
      <c r="M108" s="32" t="s">
        <v>29</v>
      </c>
      <c r="N108" s="32" t="s">
        <v>901</v>
      </c>
      <c r="O108" s="32" t="s">
        <v>816</v>
      </c>
      <c r="P108" s="32" t="s">
        <v>669</v>
      </c>
    </row>
    <row r="109" spans="1:16" ht="409.6" customHeight="1" x14ac:dyDescent="0.25">
      <c r="A109" s="32">
        <v>107</v>
      </c>
      <c r="B109" s="32" t="s">
        <v>902</v>
      </c>
      <c r="C109" s="32"/>
      <c r="D109" s="32" t="s">
        <v>903</v>
      </c>
      <c r="E109" s="32" t="s">
        <v>904</v>
      </c>
      <c r="F109" s="32" t="s">
        <v>905</v>
      </c>
      <c r="G109" s="32" t="s">
        <v>906</v>
      </c>
      <c r="H109" s="32" t="s">
        <v>907</v>
      </c>
      <c r="I109" s="32">
        <v>2</v>
      </c>
      <c r="J109" s="32" t="s">
        <v>908</v>
      </c>
      <c r="K109" s="32"/>
      <c r="L109" s="32" t="s">
        <v>92</v>
      </c>
      <c r="M109" s="32" t="s">
        <v>29</v>
      </c>
      <c r="N109" s="32" t="s">
        <v>909</v>
      </c>
      <c r="O109" s="32" t="s">
        <v>816</v>
      </c>
      <c r="P109" s="32" t="s">
        <v>669</v>
      </c>
    </row>
    <row r="110" spans="1:16" ht="409.6" customHeight="1" x14ac:dyDescent="0.25">
      <c r="A110" s="32">
        <v>108</v>
      </c>
      <c r="B110" s="32" t="s">
        <v>910</v>
      </c>
      <c r="C110" s="32"/>
      <c r="D110" s="32" t="s">
        <v>911</v>
      </c>
      <c r="E110" s="32" t="s">
        <v>912</v>
      </c>
      <c r="F110" s="32" t="s">
        <v>913</v>
      </c>
      <c r="G110" s="32" t="s">
        <v>914</v>
      </c>
      <c r="H110" s="32" t="s">
        <v>915</v>
      </c>
      <c r="I110" s="32">
        <v>3</v>
      </c>
      <c r="J110" s="32" t="s">
        <v>916</v>
      </c>
      <c r="K110" s="32"/>
      <c r="L110" s="32" t="s">
        <v>92</v>
      </c>
      <c r="M110" s="32" t="s">
        <v>29</v>
      </c>
      <c r="N110" s="32" t="s">
        <v>917</v>
      </c>
      <c r="O110" s="32" t="s">
        <v>816</v>
      </c>
      <c r="P110" s="32" t="s">
        <v>669</v>
      </c>
    </row>
    <row r="111" spans="1:16" ht="409.6" customHeight="1" x14ac:dyDescent="0.25">
      <c r="A111" s="32">
        <v>109</v>
      </c>
      <c r="B111" s="32" t="s">
        <v>918</v>
      </c>
      <c r="C111" s="32"/>
      <c r="D111" s="32" t="s">
        <v>559</v>
      </c>
      <c r="E111" s="32" t="s">
        <v>539</v>
      </c>
      <c r="F111" s="32" t="s">
        <v>747</v>
      </c>
      <c r="G111" s="32" t="s">
        <v>276</v>
      </c>
      <c r="H111" s="32" t="s">
        <v>733</v>
      </c>
      <c r="I111" s="32">
        <v>3</v>
      </c>
      <c r="J111" s="32" t="s">
        <v>919</v>
      </c>
      <c r="K111" s="32"/>
      <c r="L111" s="32" t="s">
        <v>189</v>
      </c>
      <c r="M111" s="32" t="s">
        <v>29</v>
      </c>
      <c r="N111" s="32" t="s">
        <v>920</v>
      </c>
      <c r="O111" s="32" t="s">
        <v>816</v>
      </c>
      <c r="P111" s="32" t="s">
        <v>669</v>
      </c>
    </row>
    <row r="112" spans="1:16" ht="409.6" customHeight="1" x14ac:dyDescent="0.25">
      <c r="A112" s="32">
        <v>110</v>
      </c>
      <c r="B112" s="32" t="s">
        <v>921</v>
      </c>
      <c r="C112" s="32"/>
      <c r="D112" s="32" t="s">
        <v>922</v>
      </c>
      <c r="E112" s="32" t="s">
        <v>923</v>
      </c>
      <c r="F112" s="32" t="s">
        <v>924</v>
      </c>
      <c r="G112" s="32" t="s">
        <v>925</v>
      </c>
      <c r="H112" s="32" t="s">
        <v>926</v>
      </c>
      <c r="I112" s="32">
        <v>3</v>
      </c>
      <c r="J112" s="32" t="s">
        <v>927</v>
      </c>
      <c r="K112" s="32"/>
      <c r="L112" s="32" t="s">
        <v>522</v>
      </c>
      <c r="M112" s="32" t="s">
        <v>29</v>
      </c>
      <c r="N112" s="32" t="s">
        <v>928</v>
      </c>
      <c r="O112" s="32" t="s">
        <v>816</v>
      </c>
      <c r="P112" s="32" t="s">
        <v>669</v>
      </c>
    </row>
    <row r="113" spans="1:16" ht="409.6" customHeight="1" x14ac:dyDescent="0.25">
      <c r="A113" s="32">
        <v>111</v>
      </c>
      <c r="B113" s="32" t="s">
        <v>929</v>
      </c>
      <c r="C113" s="32"/>
      <c r="D113" s="32" t="s">
        <v>930</v>
      </c>
      <c r="E113" s="32" t="s">
        <v>931</v>
      </c>
      <c r="F113" s="32" t="s">
        <v>932</v>
      </c>
      <c r="G113" s="32" t="s">
        <v>933</v>
      </c>
      <c r="H113" s="32" t="s">
        <v>934</v>
      </c>
      <c r="I113" s="32">
        <v>5</v>
      </c>
      <c r="J113" s="32" t="s">
        <v>935</v>
      </c>
      <c r="K113" s="32"/>
      <c r="L113" s="32" t="s">
        <v>189</v>
      </c>
      <c r="M113" s="32" t="s">
        <v>29</v>
      </c>
      <c r="N113" s="32" t="s">
        <v>936</v>
      </c>
      <c r="O113" s="32" t="s">
        <v>816</v>
      </c>
      <c r="P113" s="32" t="s">
        <v>669</v>
      </c>
    </row>
    <row r="114" spans="1:16" ht="409.6" customHeight="1" x14ac:dyDescent="0.25">
      <c r="A114" s="32">
        <v>112</v>
      </c>
      <c r="B114" s="32" t="s">
        <v>937</v>
      </c>
      <c r="C114" s="32"/>
      <c r="D114" s="32" t="s">
        <v>938</v>
      </c>
      <c r="E114" s="32" t="s">
        <v>939</v>
      </c>
      <c r="F114" s="32" t="s">
        <v>940</v>
      </c>
      <c r="G114" s="32" t="s">
        <v>941</v>
      </c>
      <c r="H114" s="32" t="s">
        <v>942</v>
      </c>
      <c r="I114" s="32">
        <v>4</v>
      </c>
      <c r="J114" s="32" t="s">
        <v>943</v>
      </c>
      <c r="K114" s="32"/>
      <c r="L114" s="32" t="s">
        <v>944</v>
      </c>
      <c r="M114" s="32" t="s">
        <v>29</v>
      </c>
      <c r="N114" s="32" t="s">
        <v>945</v>
      </c>
      <c r="O114" s="32" t="s">
        <v>816</v>
      </c>
      <c r="P114" s="32" t="s">
        <v>669</v>
      </c>
    </row>
    <row r="115" spans="1:16" ht="409.6" customHeight="1" x14ac:dyDescent="0.25">
      <c r="A115" s="32">
        <v>113</v>
      </c>
      <c r="B115" s="32" t="s">
        <v>946</v>
      </c>
      <c r="C115" s="32"/>
      <c r="D115" s="32" t="s">
        <v>947</v>
      </c>
      <c r="E115" s="32" t="s">
        <v>948</v>
      </c>
      <c r="F115" s="32" t="s">
        <v>949</v>
      </c>
      <c r="G115" s="32" t="s">
        <v>950</v>
      </c>
      <c r="H115" s="32" t="s">
        <v>951</v>
      </c>
      <c r="I115" s="32">
        <v>2</v>
      </c>
      <c r="J115" s="32" t="s">
        <v>952</v>
      </c>
      <c r="K115" s="32"/>
      <c r="L115" s="32" t="s">
        <v>92</v>
      </c>
      <c r="M115" s="32" t="s">
        <v>29</v>
      </c>
      <c r="N115" s="32" t="s">
        <v>953</v>
      </c>
      <c r="O115" s="32" t="s">
        <v>816</v>
      </c>
      <c r="P115" s="32" t="s">
        <v>669</v>
      </c>
    </row>
    <row r="116" spans="1:16" ht="409.6" customHeight="1" x14ac:dyDescent="0.25">
      <c r="A116" s="32">
        <v>114</v>
      </c>
      <c r="B116" s="32" t="s">
        <v>954</v>
      </c>
      <c r="C116" s="32"/>
      <c r="D116" s="32" t="s">
        <v>675</v>
      </c>
      <c r="E116" s="32" t="s">
        <v>362</v>
      </c>
      <c r="F116" s="32" t="s">
        <v>767</v>
      </c>
      <c r="G116" s="32" t="s">
        <v>768</v>
      </c>
      <c r="H116" s="32" t="s">
        <v>769</v>
      </c>
      <c r="I116" s="32">
        <v>1</v>
      </c>
      <c r="J116" s="32" t="s">
        <v>955</v>
      </c>
      <c r="K116" s="32"/>
      <c r="L116" s="32" t="s">
        <v>92</v>
      </c>
      <c r="M116" s="32" t="s">
        <v>29</v>
      </c>
      <c r="N116" s="32" t="s">
        <v>956</v>
      </c>
      <c r="O116" s="32" t="s">
        <v>816</v>
      </c>
      <c r="P116" s="32" t="s">
        <v>669</v>
      </c>
    </row>
    <row r="117" spans="1:16" ht="409.6" customHeight="1" x14ac:dyDescent="0.25">
      <c r="A117" s="32">
        <v>115</v>
      </c>
      <c r="B117" s="32" t="s">
        <v>957</v>
      </c>
      <c r="C117" s="32"/>
      <c r="D117" s="32" t="s">
        <v>958</v>
      </c>
      <c r="E117" s="32" t="s">
        <v>959</v>
      </c>
      <c r="F117" s="32" t="s">
        <v>960</v>
      </c>
      <c r="G117" s="32" t="s">
        <v>459</v>
      </c>
      <c r="H117" s="32" t="s">
        <v>629</v>
      </c>
      <c r="I117" s="32">
        <v>4</v>
      </c>
      <c r="J117" s="32" t="s">
        <v>961</v>
      </c>
      <c r="K117" s="32"/>
      <c r="L117" s="32" t="s">
        <v>92</v>
      </c>
      <c r="M117" s="32" t="s">
        <v>29</v>
      </c>
      <c r="N117" s="32" t="s">
        <v>962</v>
      </c>
      <c r="O117" s="32" t="s">
        <v>816</v>
      </c>
      <c r="P117" s="32" t="s">
        <v>669</v>
      </c>
    </row>
    <row r="118" spans="1:16" ht="409.6" customHeight="1" x14ac:dyDescent="0.25">
      <c r="A118" s="32">
        <v>116</v>
      </c>
      <c r="B118" s="32" t="s">
        <v>963</v>
      </c>
      <c r="C118" s="32"/>
      <c r="D118" s="32" t="s">
        <v>964</v>
      </c>
      <c r="E118" s="32" t="s">
        <v>965</v>
      </c>
      <c r="F118" s="32" t="s">
        <v>966</v>
      </c>
      <c r="G118" s="32" t="s">
        <v>967</v>
      </c>
      <c r="H118" s="32" t="s">
        <v>968</v>
      </c>
      <c r="I118" s="32">
        <v>1</v>
      </c>
      <c r="J118" s="32" t="s">
        <v>969</v>
      </c>
      <c r="K118" s="32"/>
      <c r="L118" s="32" t="s">
        <v>92</v>
      </c>
      <c r="M118" s="32" t="s">
        <v>29</v>
      </c>
      <c r="N118" s="32" t="s">
        <v>970</v>
      </c>
      <c r="O118" s="32" t="s">
        <v>816</v>
      </c>
      <c r="P118" s="32" t="s">
        <v>669</v>
      </c>
    </row>
    <row r="119" spans="1:16" ht="409.6" customHeight="1" x14ac:dyDescent="0.25">
      <c r="A119" s="32">
        <v>117</v>
      </c>
      <c r="B119" s="32" t="s">
        <v>971</v>
      </c>
      <c r="C119" s="32"/>
      <c r="D119" s="32" t="s">
        <v>972</v>
      </c>
      <c r="E119" s="32" t="s">
        <v>973</v>
      </c>
      <c r="F119" s="32" t="s">
        <v>974</v>
      </c>
      <c r="G119" s="32" t="s">
        <v>975</v>
      </c>
      <c r="H119" s="32" t="s">
        <v>976</v>
      </c>
      <c r="I119" s="32">
        <v>4</v>
      </c>
      <c r="J119" s="32" t="s">
        <v>977</v>
      </c>
      <c r="K119" s="32"/>
      <c r="L119" s="32" t="s">
        <v>92</v>
      </c>
      <c r="M119" s="32" t="s">
        <v>29</v>
      </c>
      <c r="N119" s="32" t="s">
        <v>978</v>
      </c>
      <c r="O119" s="32" t="s">
        <v>816</v>
      </c>
      <c r="P119" s="32" t="s">
        <v>669</v>
      </c>
    </row>
    <row r="120" spans="1:16" ht="409.6" customHeight="1" x14ac:dyDescent="0.25">
      <c r="A120" s="32">
        <v>118</v>
      </c>
      <c r="B120" s="32" t="s">
        <v>979</v>
      </c>
      <c r="C120" s="32"/>
      <c r="D120" s="32" t="s">
        <v>980</v>
      </c>
      <c r="E120" s="32" t="s">
        <v>191</v>
      </c>
      <c r="F120" s="32" t="s">
        <v>189</v>
      </c>
      <c r="G120" s="32" t="s">
        <v>190</v>
      </c>
      <c r="H120" s="32" t="s">
        <v>501</v>
      </c>
      <c r="I120" s="32">
        <v>2</v>
      </c>
      <c r="J120" s="32" t="s">
        <v>981</v>
      </c>
      <c r="K120" s="32"/>
      <c r="L120" s="32" t="s">
        <v>453</v>
      </c>
      <c r="M120" s="32" t="s">
        <v>29</v>
      </c>
      <c r="N120" s="32" t="s">
        <v>982</v>
      </c>
      <c r="O120" s="32" t="s">
        <v>816</v>
      </c>
      <c r="P120" s="32" t="s">
        <v>669</v>
      </c>
    </row>
    <row r="121" spans="1:16" ht="409.6" customHeight="1" x14ac:dyDescent="0.25">
      <c r="A121" s="32">
        <v>119</v>
      </c>
      <c r="B121" s="32" t="s">
        <v>983</v>
      </c>
      <c r="C121" s="32"/>
      <c r="D121" s="32" t="s">
        <v>276</v>
      </c>
      <c r="E121" s="32" t="s">
        <v>362</v>
      </c>
      <c r="F121" s="32" t="s">
        <v>674</v>
      </c>
      <c r="G121" s="32" t="s">
        <v>559</v>
      </c>
      <c r="H121" s="32" t="s">
        <v>689</v>
      </c>
      <c r="I121" s="32">
        <v>5</v>
      </c>
      <c r="J121" s="32" t="s">
        <v>984</v>
      </c>
      <c r="K121" s="32"/>
      <c r="L121" s="32" t="s">
        <v>453</v>
      </c>
      <c r="M121" s="32" t="s">
        <v>29</v>
      </c>
      <c r="N121" s="32" t="s">
        <v>985</v>
      </c>
      <c r="O121" s="32" t="s">
        <v>816</v>
      </c>
      <c r="P121" s="32" t="s">
        <v>669</v>
      </c>
    </row>
    <row r="122" spans="1:16" ht="409.6" customHeight="1" x14ac:dyDescent="0.25">
      <c r="A122" s="32">
        <v>120</v>
      </c>
      <c r="B122" s="32" t="s">
        <v>986</v>
      </c>
      <c r="C122" s="32"/>
      <c r="D122" s="32" t="s">
        <v>232</v>
      </c>
      <c r="E122" s="32" t="s">
        <v>688</v>
      </c>
      <c r="F122" s="32" t="s">
        <v>459</v>
      </c>
      <c r="G122" s="32" t="s">
        <v>540</v>
      </c>
      <c r="H122" s="32" t="s">
        <v>161</v>
      </c>
      <c r="I122" s="32">
        <v>1</v>
      </c>
      <c r="J122" s="32" t="s">
        <v>987</v>
      </c>
      <c r="K122" s="32"/>
      <c r="L122" s="32" t="s">
        <v>453</v>
      </c>
      <c r="M122" s="32" t="s">
        <v>29</v>
      </c>
      <c r="N122" s="32" t="s">
        <v>988</v>
      </c>
      <c r="O122" s="32" t="s">
        <v>816</v>
      </c>
      <c r="P122" s="32" t="s">
        <v>669</v>
      </c>
    </row>
    <row r="123" spans="1:16" ht="409.6" customHeight="1" x14ac:dyDescent="0.25">
      <c r="A123" s="32">
        <v>121</v>
      </c>
      <c r="B123" s="32" t="s">
        <v>989</v>
      </c>
      <c r="C123" s="32"/>
      <c r="D123" s="32" t="s">
        <v>990</v>
      </c>
      <c r="E123" s="32" t="s">
        <v>689</v>
      </c>
      <c r="F123" s="32" t="s">
        <v>276</v>
      </c>
      <c r="G123" s="32" t="s">
        <v>540</v>
      </c>
      <c r="H123" s="32" t="s">
        <v>160</v>
      </c>
      <c r="I123" s="32">
        <v>4</v>
      </c>
      <c r="J123" s="32" t="s">
        <v>991</v>
      </c>
      <c r="K123" s="32"/>
      <c r="L123" s="32" t="s">
        <v>189</v>
      </c>
      <c r="M123" s="32" t="s">
        <v>29</v>
      </c>
      <c r="N123" s="32" t="s">
        <v>992</v>
      </c>
      <c r="O123" s="32" t="s">
        <v>816</v>
      </c>
      <c r="P123" s="32" t="s">
        <v>669</v>
      </c>
    </row>
    <row r="124" spans="1:16" ht="409.6" customHeight="1" x14ac:dyDescent="0.25">
      <c r="A124" s="32">
        <v>122</v>
      </c>
      <c r="B124" s="32" t="s">
        <v>993</v>
      </c>
      <c r="C124" s="32"/>
      <c r="D124" s="32" t="s">
        <v>559</v>
      </c>
      <c r="E124" s="32" t="s">
        <v>539</v>
      </c>
      <c r="F124" s="32" t="s">
        <v>747</v>
      </c>
      <c r="G124" s="32" t="s">
        <v>276</v>
      </c>
      <c r="H124" s="32" t="s">
        <v>733</v>
      </c>
      <c r="I124" s="32">
        <v>3</v>
      </c>
      <c r="J124" s="32" t="s">
        <v>994</v>
      </c>
      <c r="K124" s="32"/>
      <c r="L124" s="32" t="s">
        <v>189</v>
      </c>
      <c r="M124" s="32" t="s">
        <v>29</v>
      </c>
      <c r="N124" s="32" t="s">
        <v>995</v>
      </c>
      <c r="O124" s="32" t="s">
        <v>816</v>
      </c>
      <c r="P124" s="32" t="s">
        <v>669</v>
      </c>
    </row>
    <row r="125" spans="1:16" ht="409.6" customHeight="1" x14ac:dyDescent="0.25">
      <c r="A125" s="32">
        <v>123</v>
      </c>
      <c r="B125" s="32" t="s">
        <v>996</v>
      </c>
      <c r="C125" s="32"/>
      <c r="D125" s="32" t="s">
        <v>997</v>
      </c>
      <c r="E125" s="32" t="s">
        <v>923</v>
      </c>
      <c r="F125" s="32" t="s">
        <v>998</v>
      </c>
      <c r="G125" s="32" t="s">
        <v>999</v>
      </c>
      <c r="H125" s="32" t="s">
        <v>1000</v>
      </c>
      <c r="I125" s="32">
        <v>3</v>
      </c>
      <c r="J125" s="32" t="s">
        <v>1001</v>
      </c>
      <c r="K125" s="32"/>
      <c r="L125" s="32" t="s">
        <v>522</v>
      </c>
      <c r="M125" s="32" t="s">
        <v>29</v>
      </c>
      <c r="N125" s="32" t="s">
        <v>1002</v>
      </c>
      <c r="O125" s="32" t="s">
        <v>816</v>
      </c>
      <c r="P125" s="32" t="s">
        <v>669</v>
      </c>
    </row>
    <row r="126" spans="1:16" ht="409.6" customHeight="1" x14ac:dyDescent="0.25">
      <c r="A126" s="32">
        <v>124</v>
      </c>
      <c r="B126" s="32" t="s">
        <v>929</v>
      </c>
      <c r="C126" s="32"/>
      <c r="D126" s="32" t="s">
        <v>930</v>
      </c>
      <c r="E126" s="32" t="s">
        <v>931</v>
      </c>
      <c r="F126" s="32" t="s">
        <v>932</v>
      </c>
      <c r="G126" s="32" t="s">
        <v>933</v>
      </c>
      <c r="H126" s="32" t="s">
        <v>934</v>
      </c>
      <c r="I126" s="32">
        <v>5</v>
      </c>
      <c r="J126" s="32" t="s">
        <v>1003</v>
      </c>
      <c r="K126" s="32"/>
      <c r="L126" s="32" t="s">
        <v>189</v>
      </c>
      <c r="M126" s="32" t="s">
        <v>29</v>
      </c>
      <c r="N126" s="32" t="s">
        <v>1004</v>
      </c>
      <c r="O126" s="32" t="s">
        <v>816</v>
      </c>
      <c r="P126" s="32" t="s">
        <v>669</v>
      </c>
    </row>
    <row r="127" spans="1:16" ht="409.6" customHeight="1" x14ac:dyDescent="0.25">
      <c r="A127" s="32">
        <v>125</v>
      </c>
      <c r="B127" s="32" t="s">
        <v>1005</v>
      </c>
      <c r="C127" s="32"/>
      <c r="D127" s="32" t="s">
        <v>275</v>
      </c>
      <c r="E127" s="32" t="s">
        <v>559</v>
      </c>
      <c r="F127" s="32" t="s">
        <v>539</v>
      </c>
      <c r="G127" s="32" t="s">
        <v>733</v>
      </c>
      <c r="H127" s="32" t="s">
        <v>560</v>
      </c>
      <c r="I127" s="32">
        <v>1</v>
      </c>
      <c r="J127" s="32" t="s">
        <v>1006</v>
      </c>
      <c r="K127" s="32"/>
      <c r="L127" s="32" t="s">
        <v>189</v>
      </c>
      <c r="M127" s="32" t="s">
        <v>29</v>
      </c>
      <c r="N127" s="32" t="s">
        <v>1007</v>
      </c>
      <c r="O127" s="32" t="s">
        <v>816</v>
      </c>
      <c r="P127" s="32" t="s">
        <v>669</v>
      </c>
    </row>
    <row r="128" spans="1:16" ht="409.6" customHeight="1" x14ac:dyDescent="0.25">
      <c r="A128" s="32">
        <v>126</v>
      </c>
      <c r="B128" s="32" t="s">
        <v>1008</v>
      </c>
      <c r="C128" s="32"/>
      <c r="D128" s="32" t="s">
        <v>283</v>
      </c>
      <c r="E128" s="32" t="s">
        <v>687</v>
      </c>
      <c r="F128" s="32" t="s">
        <v>688</v>
      </c>
      <c r="G128" s="32" t="s">
        <v>674</v>
      </c>
      <c r="H128" s="32" t="s">
        <v>689</v>
      </c>
      <c r="I128" s="32">
        <v>1</v>
      </c>
      <c r="J128" s="32" t="s">
        <v>1009</v>
      </c>
      <c r="K128" s="32"/>
      <c r="L128" s="32" t="s">
        <v>189</v>
      </c>
      <c r="M128" s="32" t="s">
        <v>29</v>
      </c>
      <c r="N128" s="32" t="s">
        <v>1010</v>
      </c>
      <c r="O128" s="32" t="s">
        <v>816</v>
      </c>
      <c r="P128" s="32" t="s">
        <v>669</v>
      </c>
    </row>
    <row r="129" spans="1:16" ht="409.6" customHeight="1" x14ac:dyDescent="0.25">
      <c r="A129" s="32">
        <v>127</v>
      </c>
      <c r="B129" s="32" t="s">
        <v>1011</v>
      </c>
      <c r="C129" s="32"/>
      <c r="D129" s="32" t="s">
        <v>1012</v>
      </c>
      <c r="E129" s="32" t="s">
        <v>1013</v>
      </c>
      <c r="F129" s="32" t="s">
        <v>1014</v>
      </c>
      <c r="G129" s="32" t="s">
        <v>1015</v>
      </c>
      <c r="H129" s="32" t="s">
        <v>1016</v>
      </c>
      <c r="I129" s="32">
        <v>1</v>
      </c>
      <c r="J129" s="32" t="s">
        <v>1017</v>
      </c>
      <c r="K129" s="32"/>
      <c r="L129" s="32" t="s">
        <v>190</v>
      </c>
      <c r="M129" s="32" t="s">
        <v>29</v>
      </c>
      <c r="N129" s="32" t="s">
        <v>1018</v>
      </c>
      <c r="O129" s="32" t="s">
        <v>816</v>
      </c>
      <c r="P129" s="32" t="s">
        <v>669</v>
      </c>
    </row>
    <row r="130" spans="1:16" ht="409.6" customHeight="1" x14ac:dyDescent="0.25">
      <c r="A130" s="32">
        <v>128</v>
      </c>
      <c r="B130" s="32" t="s">
        <v>1019</v>
      </c>
      <c r="C130" s="32"/>
      <c r="D130" s="32" t="s">
        <v>1020</v>
      </c>
      <c r="E130" s="32" t="s">
        <v>1021</v>
      </c>
      <c r="F130" s="32" t="s">
        <v>1022</v>
      </c>
      <c r="G130" s="32" t="s">
        <v>1023</v>
      </c>
      <c r="H130" s="32" t="s">
        <v>1024</v>
      </c>
      <c r="I130" s="32">
        <v>3</v>
      </c>
      <c r="J130" s="32" t="s">
        <v>1025</v>
      </c>
      <c r="K130" s="32"/>
      <c r="L130" s="32" t="s">
        <v>190</v>
      </c>
      <c r="M130" s="32" t="s">
        <v>29</v>
      </c>
      <c r="N130" s="32" t="s">
        <v>1026</v>
      </c>
      <c r="O130" s="32" t="s">
        <v>816</v>
      </c>
      <c r="P130" s="32" t="s">
        <v>669</v>
      </c>
    </row>
    <row r="131" spans="1:16" ht="409.6" customHeight="1" x14ac:dyDescent="0.25">
      <c r="A131" s="32">
        <v>129</v>
      </c>
      <c r="B131" s="32" t="s">
        <v>1027</v>
      </c>
      <c r="C131" s="32"/>
      <c r="D131" s="32" t="s">
        <v>1028</v>
      </c>
      <c r="E131" s="32" t="s">
        <v>1029</v>
      </c>
      <c r="F131" s="32" t="s">
        <v>1030</v>
      </c>
      <c r="G131" s="32" t="s">
        <v>1031</v>
      </c>
      <c r="H131" s="32" t="s">
        <v>1032</v>
      </c>
      <c r="I131" s="32">
        <v>2</v>
      </c>
      <c r="J131" s="32" t="s">
        <v>1033</v>
      </c>
      <c r="K131" s="32"/>
      <c r="L131" s="32" t="s">
        <v>190</v>
      </c>
      <c r="M131" s="32" t="s">
        <v>29</v>
      </c>
      <c r="N131" s="32" t="s">
        <v>1034</v>
      </c>
      <c r="O131" s="32" t="s">
        <v>816</v>
      </c>
      <c r="P131" s="32" t="s">
        <v>669</v>
      </c>
    </row>
    <row r="132" spans="1:16" ht="409.6" customHeight="1" x14ac:dyDescent="0.25">
      <c r="A132" s="32">
        <v>130</v>
      </c>
      <c r="B132" s="32" t="s">
        <v>1035</v>
      </c>
      <c r="C132" s="32"/>
      <c r="D132" s="32" t="s">
        <v>1036</v>
      </c>
      <c r="E132" s="32" t="s">
        <v>1037</v>
      </c>
      <c r="F132" s="32" t="s">
        <v>1038</v>
      </c>
      <c r="G132" s="32" t="s">
        <v>1039</v>
      </c>
      <c r="H132" s="32" t="s">
        <v>1040</v>
      </c>
      <c r="I132" s="32">
        <v>4</v>
      </c>
      <c r="J132" s="32" t="s">
        <v>1041</v>
      </c>
      <c r="K132" s="32"/>
      <c r="L132" s="32" t="s">
        <v>190</v>
      </c>
      <c r="M132" s="32" t="s">
        <v>29</v>
      </c>
      <c r="N132" s="32" t="s">
        <v>1042</v>
      </c>
      <c r="O132" s="32" t="s">
        <v>816</v>
      </c>
      <c r="P132" s="32" t="s">
        <v>669</v>
      </c>
    </row>
    <row r="133" spans="1:16" ht="409.6" customHeight="1" x14ac:dyDescent="0.25">
      <c r="A133" s="32">
        <v>131</v>
      </c>
      <c r="B133" s="32" t="s">
        <v>1043</v>
      </c>
      <c r="C133" s="32"/>
      <c r="D133" s="32" t="s">
        <v>1044</v>
      </c>
      <c r="E133" s="32" t="s">
        <v>1045</v>
      </c>
      <c r="F133" s="32" t="s">
        <v>1046</v>
      </c>
      <c r="G133" s="32" t="s">
        <v>1047</v>
      </c>
      <c r="H133" s="32" t="s">
        <v>1048</v>
      </c>
      <c r="I133" s="32">
        <v>5</v>
      </c>
      <c r="J133" s="32" t="s">
        <v>1049</v>
      </c>
      <c r="K133" s="32"/>
      <c r="L133" s="32" t="s">
        <v>190</v>
      </c>
      <c r="M133" s="32" t="s">
        <v>29</v>
      </c>
      <c r="N133" s="32" t="s">
        <v>1050</v>
      </c>
      <c r="O133" s="32" t="s">
        <v>816</v>
      </c>
      <c r="P133" s="32" t="s">
        <v>669</v>
      </c>
    </row>
    <row r="134" spans="1:16" ht="409.6" customHeight="1" x14ac:dyDescent="0.25">
      <c r="A134" s="32">
        <v>132</v>
      </c>
      <c r="B134" s="32" t="s">
        <v>1051</v>
      </c>
      <c r="C134" s="32"/>
      <c r="D134" s="32" t="s">
        <v>559</v>
      </c>
      <c r="E134" s="32" t="s">
        <v>539</v>
      </c>
      <c r="F134" s="32" t="s">
        <v>459</v>
      </c>
      <c r="G134" s="32" t="s">
        <v>277</v>
      </c>
      <c r="H134" s="32" t="s">
        <v>158</v>
      </c>
      <c r="I134" s="32">
        <v>4</v>
      </c>
      <c r="J134" s="32" t="s">
        <v>1052</v>
      </c>
      <c r="K134" s="32"/>
      <c r="L134" s="32" t="s">
        <v>1053</v>
      </c>
      <c r="M134" s="32" t="s">
        <v>29</v>
      </c>
      <c r="N134" s="32" t="s">
        <v>1054</v>
      </c>
      <c r="O134" s="32" t="s">
        <v>816</v>
      </c>
      <c r="P134" s="32" t="s">
        <v>1055</v>
      </c>
    </row>
    <row r="135" spans="1:16" ht="409.6" customHeight="1" x14ac:dyDescent="0.25">
      <c r="A135" s="32">
        <v>133</v>
      </c>
      <c r="B135" s="32" t="s">
        <v>1056</v>
      </c>
      <c r="C135" s="32"/>
      <c r="D135" s="32" t="s">
        <v>733</v>
      </c>
      <c r="E135" s="32" t="s">
        <v>1057</v>
      </c>
      <c r="F135" s="32" t="s">
        <v>738</v>
      </c>
      <c r="G135" s="32" t="s">
        <v>1058</v>
      </c>
      <c r="H135" s="32" t="s">
        <v>1059</v>
      </c>
      <c r="I135" s="32">
        <v>1</v>
      </c>
      <c r="J135" s="32" t="s">
        <v>1060</v>
      </c>
      <c r="K135" s="32"/>
      <c r="L135" s="32" t="s">
        <v>1053</v>
      </c>
      <c r="M135" s="32" t="s">
        <v>29</v>
      </c>
      <c r="N135" s="32" t="s">
        <v>1061</v>
      </c>
      <c r="O135" s="32" t="s">
        <v>816</v>
      </c>
      <c r="P135" s="32" t="s">
        <v>1055</v>
      </c>
    </row>
    <row r="136" spans="1:16" ht="409.6" customHeight="1" x14ac:dyDescent="0.25">
      <c r="A136" s="32">
        <v>134</v>
      </c>
      <c r="B136" s="32" t="s">
        <v>1062</v>
      </c>
      <c r="C136" s="32"/>
      <c r="D136" s="32" t="s">
        <v>733</v>
      </c>
      <c r="E136" s="32" t="s">
        <v>1059</v>
      </c>
      <c r="F136" s="32" t="s">
        <v>1057</v>
      </c>
      <c r="G136" s="32" t="s">
        <v>738</v>
      </c>
      <c r="H136" s="32" t="s">
        <v>1058</v>
      </c>
      <c r="I136" s="32">
        <v>4</v>
      </c>
      <c r="J136" s="32" t="s">
        <v>1063</v>
      </c>
      <c r="K136" s="32"/>
      <c r="L136" s="32" t="s">
        <v>1053</v>
      </c>
      <c r="M136" s="32" t="s">
        <v>29</v>
      </c>
      <c r="N136" s="32" t="s">
        <v>1064</v>
      </c>
      <c r="O136" s="32" t="s">
        <v>816</v>
      </c>
      <c r="P136" s="32" t="s">
        <v>1055</v>
      </c>
    </row>
    <row r="137" spans="1:16" ht="409.6" customHeight="1" x14ac:dyDescent="0.25">
      <c r="A137" s="32">
        <v>135</v>
      </c>
      <c r="B137" s="32" t="s">
        <v>1065</v>
      </c>
      <c r="C137" s="32"/>
      <c r="D137" s="32" t="s">
        <v>1066</v>
      </c>
      <c r="E137" s="32" t="s">
        <v>1067</v>
      </c>
      <c r="F137" s="32" t="s">
        <v>1068</v>
      </c>
      <c r="G137" s="32" t="s">
        <v>1069</v>
      </c>
      <c r="H137" s="32" t="s">
        <v>1070</v>
      </c>
      <c r="I137" s="32">
        <v>1</v>
      </c>
      <c r="J137" s="32" t="s">
        <v>1071</v>
      </c>
      <c r="K137" s="32"/>
      <c r="L137" s="32" t="s">
        <v>1053</v>
      </c>
      <c r="M137" s="32" t="s">
        <v>29</v>
      </c>
      <c r="N137" s="32" t="s">
        <v>1072</v>
      </c>
      <c r="O137" s="32" t="s">
        <v>816</v>
      </c>
      <c r="P137" s="32" t="s">
        <v>1055</v>
      </c>
    </row>
    <row r="138" spans="1:16" ht="409.6" customHeight="1" x14ac:dyDescent="0.25">
      <c r="A138" s="32">
        <v>136</v>
      </c>
      <c r="B138" s="32" t="s">
        <v>1073</v>
      </c>
      <c r="C138" s="32"/>
      <c r="D138" s="32" t="s">
        <v>459</v>
      </c>
      <c r="E138" s="32" t="s">
        <v>539</v>
      </c>
      <c r="F138" s="32" t="s">
        <v>158</v>
      </c>
      <c r="G138" s="32" t="s">
        <v>958</v>
      </c>
      <c r="H138" s="32" t="s">
        <v>275</v>
      </c>
      <c r="I138" s="32">
        <v>3</v>
      </c>
      <c r="J138" s="32" t="s">
        <v>1074</v>
      </c>
      <c r="K138" s="32"/>
      <c r="L138" s="32" t="s">
        <v>1053</v>
      </c>
      <c r="M138" s="32" t="s">
        <v>29</v>
      </c>
      <c r="N138" s="32" t="s">
        <v>1075</v>
      </c>
      <c r="O138" s="32" t="s">
        <v>816</v>
      </c>
      <c r="P138" s="32" t="s">
        <v>1055</v>
      </c>
    </row>
    <row r="139" spans="1:16" ht="409.6" customHeight="1" x14ac:dyDescent="0.25">
      <c r="A139" s="32">
        <v>137</v>
      </c>
      <c r="B139" s="32" t="s">
        <v>1076</v>
      </c>
      <c r="C139" s="32"/>
      <c r="D139" s="32" t="s">
        <v>158</v>
      </c>
      <c r="E139" s="32" t="s">
        <v>459</v>
      </c>
      <c r="F139" s="32" t="s">
        <v>539</v>
      </c>
      <c r="G139" s="32" t="s">
        <v>276</v>
      </c>
      <c r="H139" s="32" t="s">
        <v>275</v>
      </c>
      <c r="I139" s="32">
        <v>4</v>
      </c>
      <c r="J139" s="32" t="s">
        <v>1077</v>
      </c>
      <c r="K139" s="32"/>
      <c r="L139" s="32" t="s">
        <v>1053</v>
      </c>
      <c r="M139" s="32" t="s">
        <v>29</v>
      </c>
      <c r="N139" s="32" t="s">
        <v>1078</v>
      </c>
      <c r="O139" s="32" t="s">
        <v>816</v>
      </c>
      <c r="P139" s="32" t="s">
        <v>1055</v>
      </c>
    </row>
    <row r="140" spans="1:16" ht="409.6" customHeight="1" x14ac:dyDescent="0.25">
      <c r="A140" s="32">
        <v>138</v>
      </c>
      <c r="B140" s="32" t="s">
        <v>1079</v>
      </c>
      <c r="C140" s="32"/>
      <c r="D140" s="32" t="s">
        <v>1080</v>
      </c>
      <c r="E140" s="32" t="s">
        <v>1081</v>
      </c>
      <c r="F140" s="32" t="s">
        <v>1082</v>
      </c>
      <c r="G140" s="32" t="s">
        <v>1083</v>
      </c>
      <c r="H140" s="32" t="s">
        <v>1084</v>
      </c>
      <c r="I140" s="32">
        <v>2</v>
      </c>
      <c r="J140" s="32" t="s">
        <v>1085</v>
      </c>
      <c r="K140" s="32"/>
      <c r="L140" s="32" t="s">
        <v>1053</v>
      </c>
      <c r="M140" s="32" t="s">
        <v>29</v>
      </c>
      <c r="N140" s="32" t="s">
        <v>1086</v>
      </c>
      <c r="O140" s="32" t="s">
        <v>816</v>
      </c>
      <c r="P140" s="32" t="s">
        <v>1055</v>
      </c>
    </row>
    <row r="141" spans="1:16" ht="409.6" customHeight="1" x14ac:dyDescent="0.25">
      <c r="A141" s="32">
        <v>139</v>
      </c>
      <c r="B141" s="32" t="s">
        <v>1087</v>
      </c>
      <c r="C141" s="32"/>
      <c r="D141" s="32" t="s">
        <v>1088</v>
      </c>
      <c r="E141" s="32" t="s">
        <v>1089</v>
      </c>
      <c r="F141" s="32" t="s">
        <v>1090</v>
      </c>
      <c r="G141" s="32" t="s">
        <v>1091</v>
      </c>
      <c r="H141" s="32" t="s">
        <v>1092</v>
      </c>
      <c r="I141" s="32">
        <v>3</v>
      </c>
      <c r="J141" s="32" t="s">
        <v>1093</v>
      </c>
      <c r="K141" s="32"/>
      <c r="L141" s="32" t="s">
        <v>1053</v>
      </c>
      <c r="M141" s="32" t="s">
        <v>29</v>
      </c>
      <c r="N141" s="32" t="s">
        <v>1094</v>
      </c>
      <c r="O141" s="32" t="s">
        <v>816</v>
      </c>
      <c r="P141" s="32" t="s">
        <v>1055</v>
      </c>
    </row>
    <row r="142" spans="1:16" ht="409.6" customHeight="1" x14ac:dyDescent="0.25">
      <c r="A142" s="32">
        <v>140</v>
      </c>
      <c r="B142" s="32" t="s">
        <v>1095</v>
      </c>
      <c r="C142" s="32"/>
      <c r="D142" s="32" t="s">
        <v>1096</v>
      </c>
      <c r="E142" s="32" t="s">
        <v>1097</v>
      </c>
      <c r="F142" s="32" t="s">
        <v>1098</v>
      </c>
      <c r="G142" s="32" t="s">
        <v>1099</v>
      </c>
      <c r="H142" s="32" t="s">
        <v>1100</v>
      </c>
      <c r="I142" s="32">
        <v>4</v>
      </c>
      <c r="J142" s="32" t="s">
        <v>1101</v>
      </c>
      <c r="K142" s="32"/>
      <c r="L142" s="32" t="s">
        <v>1053</v>
      </c>
      <c r="M142" s="32" t="s">
        <v>29</v>
      </c>
      <c r="N142" s="32" t="s">
        <v>1102</v>
      </c>
      <c r="O142" s="32" t="s">
        <v>816</v>
      </c>
      <c r="P142" s="32" t="s">
        <v>1055</v>
      </c>
    </row>
    <row r="143" spans="1:16" ht="409.6" customHeight="1" x14ac:dyDescent="0.25">
      <c r="A143" s="32">
        <v>141</v>
      </c>
      <c r="B143" s="32" t="s">
        <v>1103</v>
      </c>
      <c r="C143" s="32"/>
      <c r="D143" s="32" t="s">
        <v>1104</v>
      </c>
      <c r="E143" s="32" t="s">
        <v>1105</v>
      </c>
      <c r="F143" s="32" t="s">
        <v>1106</v>
      </c>
      <c r="G143" s="32" t="s">
        <v>1107</v>
      </c>
      <c r="H143" s="32" t="s">
        <v>1108</v>
      </c>
      <c r="I143" s="32">
        <v>1</v>
      </c>
      <c r="J143" s="32" t="s">
        <v>1109</v>
      </c>
      <c r="K143" s="32"/>
      <c r="L143" s="32" t="s">
        <v>1053</v>
      </c>
      <c r="M143" s="32" t="s">
        <v>29</v>
      </c>
      <c r="N143" s="32" t="s">
        <v>1110</v>
      </c>
      <c r="O143" s="32" t="s">
        <v>816</v>
      </c>
      <c r="P143" s="32" t="s">
        <v>1055</v>
      </c>
    </row>
    <row r="144" spans="1:16" ht="409.6" customHeight="1" x14ac:dyDescent="0.25">
      <c r="A144" s="32">
        <v>142</v>
      </c>
      <c r="B144" s="32" t="s">
        <v>1111</v>
      </c>
      <c r="C144" s="32"/>
      <c r="D144" s="32" t="s">
        <v>1112</v>
      </c>
      <c r="E144" s="32" t="s">
        <v>1113</v>
      </c>
      <c r="F144" s="32" t="s">
        <v>1114</v>
      </c>
      <c r="G144" s="32" t="s">
        <v>1115</v>
      </c>
      <c r="H144" s="32" t="s">
        <v>1116</v>
      </c>
      <c r="I144" s="32">
        <v>1</v>
      </c>
      <c r="J144" s="32" t="s">
        <v>1117</v>
      </c>
      <c r="K144" s="32"/>
      <c r="L144" s="32" t="s">
        <v>453</v>
      </c>
      <c r="M144" s="32" t="s">
        <v>29</v>
      </c>
      <c r="N144" s="32" t="s">
        <v>1118</v>
      </c>
      <c r="O144" s="32" t="s">
        <v>816</v>
      </c>
      <c r="P144" s="32" t="s">
        <v>1055</v>
      </c>
    </row>
    <row r="145" spans="1:16" ht="409.6" customHeight="1" x14ac:dyDescent="0.25">
      <c r="A145" s="32">
        <v>143</v>
      </c>
      <c r="B145" s="32" t="s">
        <v>1119</v>
      </c>
      <c r="C145" s="32"/>
      <c r="D145" s="32" t="s">
        <v>689</v>
      </c>
      <c r="E145" s="32" t="s">
        <v>449</v>
      </c>
      <c r="F145" s="32" t="s">
        <v>687</v>
      </c>
      <c r="G145" s="32" t="s">
        <v>1120</v>
      </c>
      <c r="H145" s="32" t="s">
        <v>1121</v>
      </c>
      <c r="I145" s="32">
        <v>3</v>
      </c>
      <c r="J145" s="32" t="s">
        <v>1122</v>
      </c>
      <c r="K145" s="32"/>
      <c r="L145" s="32" t="s">
        <v>453</v>
      </c>
      <c r="M145" s="32" t="s">
        <v>29</v>
      </c>
      <c r="N145" s="32" t="s">
        <v>1123</v>
      </c>
      <c r="O145" s="32" t="s">
        <v>816</v>
      </c>
      <c r="P145" s="32" t="s">
        <v>1055</v>
      </c>
    </row>
    <row r="146" spans="1:16" ht="409.6" customHeight="1" x14ac:dyDescent="0.25">
      <c r="A146" s="32">
        <v>144</v>
      </c>
      <c r="B146" s="32" t="s">
        <v>1124</v>
      </c>
      <c r="C146" s="32"/>
      <c r="D146" s="32" t="s">
        <v>687</v>
      </c>
      <c r="E146" s="32" t="s">
        <v>232</v>
      </c>
      <c r="F146" s="32" t="s">
        <v>689</v>
      </c>
      <c r="G146" s="32" t="s">
        <v>1125</v>
      </c>
      <c r="H146" s="32" t="s">
        <v>447</v>
      </c>
      <c r="I146" s="32">
        <v>3</v>
      </c>
      <c r="J146" s="32" t="s">
        <v>1126</v>
      </c>
      <c r="K146" s="32"/>
      <c r="L146" s="32" t="s">
        <v>453</v>
      </c>
      <c r="M146" s="32" t="s">
        <v>29</v>
      </c>
      <c r="N146" s="32" t="s">
        <v>1127</v>
      </c>
      <c r="O146" s="32" t="s">
        <v>816</v>
      </c>
      <c r="P146" s="32" t="s">
        <v>1055</v>
      </c>
    </row>
    <row r="147" spans="1:16" ht="409.6" customHeight="1" x14ac:dyDescent="0.25">
      <c r="A147" s="32">
        <v>145</v>
      </c>
      <c r="B147" s="32" t="s">
        <v>1128</v>
      </c>
      <c r="C147" s="32"/>
      <c r="D147" s="32" t="s">
        <v>1129</v>
      </c>
      <c r="E147" s="32" t="s">
        <v>1130</v>
      </c>
      <c r="F147" s="32" t="s">
        <v>1131</v>
      </c>
      <c r="G147" s="32" t="s">
        <v>1132</v>
      </c>
      <c r="H147" s="32" t="s">
        <v>1133</v>
      </c>
      <c r="I147" s="32">
        <v>2</v>
      </c>
      <c r="J147" s="32" t="s">
        <v>1134</v>
      </c>
      <c r="K147" s="32"/>
      <c r="L147" s="32" t="s">
        <v>453</v>
      </c>
      <c r="M147" s="32" t="s">
        <v>29</v>
      </c>
      <c r="N147" s="32" t="s">
        <v>1135</v>
      </c>
      <c r="O147" s="32" t="s">
        <v>816</v>
      </c>
      <c r="P147" s="32" t="s">
        <v>1055</v>
      </c>
    </row>
    <row r="148" spans="1:16" ht="409.6" customHeight="1" x14ac:dyDescent="0.25">
      <c r="A148" s="32">
        <v>146</v>
      </c>
      <c r="B148" s="32" t="s">
        <v>1136</v>
      </c>
      <c r="C148" s="32"/>
      <c r="D148" s="32" t="s">
        <v>1137</v>
      </c>
      <c r="E148" s="32" t="s">
        <v>1138</v>
      </c>
      <c r="F148" s="32" t="s">
        <v>1139</v>
      </c>
      <c r="G148" s="32" t="s">
        <v>1140</v>
      </c>
      <c r="H148" s="32" t="s">
        <v>1141</v>
      </c>
      <c r="I148" s="32">
        <v>3</v>
      </c>
      <c r="J148" s="32" t="s">
        <v>1142</v>
      </c>
      <c r="K148" s="32"/>
      <c r="L148" s="32" t="s">
        <v>453</v>
      </c>
      <c r="M148" s="32" t="s">
        <v>29</v>
      </c>
      <c r="N148" s="32" t="s">
        <v>1143</v>
      </c>
      <c r="O148" s="32" t="s">
        <v>816</v>
      </c>
      <c r="P148" s="32" t="s">
        <v>1055</v>
      </c>
    </row>
    <row r="149" spans="1:16" ht="409.6" customHeight="1" x14ac:dyDescent="0.25">
      <c r="A149" s="32">
        <v>147</v>
      </c>
      <c r="B149" s="32" t="s">
        <v>1144</v>
      </c>
      <c r="C149" s="32"/>
      <c r="D149" s="32" t="s">
        <v>1145</v>
      </c>
      <c r="E149" s="32" t="s">
        <v>1146</v>
      </c>
      <c r="F149" s="32" t="s">
        <v>1147</v>
      </c>
      <c r="G149" s="32" t="s">
        <v>1148</v>
      </c>
      <c r="H149" s="32" t="s">
        <v>1149</v>
      </c>
      <c r="I149" s="32">
        <v>3</v>
      </c>
      <c r="J149" s="32" t="s">
        <v>1150</v>
      </c>
      <c r="K149" s="32"/>
      <c r="L149" s="32" t="s">
        <v>453</v>
      </c>
      <c r="M149" s="32" t="s">
        <v>29</v>
      </c>
      <c r="N149" s="32" t="s">
        <v>1151</v>
      </c>
      <c r="O149" s="32" t="s">
        <v>816</v>
      </c>
      <c r="P149" s="32" t="s">
        <v>1055</v>
      </c>
    </row>
    <row r="150" spans="1:16" ht="409.6" customHeight="1" x14ac:dyDescent="0.25">
      <c r="A150" s="32">
        <v>148</v>
      </c>
      <c r="B150" s="32" t="s">
        <v>1152</v>
      </c>
      <c r="C150" s="32"/>
      <c r="D150" s="32" t="s">
        <v>1153</v>
      </c>
      <c r="E150" s="32" t="s">
        <v>1154</v>
      </c>
      <c r="F150" s="32" t="s">
        <v>1155</v>
      </c>
      <c r="G150" s="32" t="s">
        <v>1156</v>
      </c>
      <c r="H150" s="32" t="s">
        <v>1157</v>
      </c>
      <c r="I150" s="32">
        <v>3</v>
      </c>
      <c r="J150" s="32" t="s">
        <v>1158</v>
      </c>
      <c r="K150" s="32"/>
      <c r="L150" s="32" t="s">
        <v>453</v>
      </c>
      <c r="M150" s="32" t="s">
        <v>29</v>
      </c>
      <c r="N150" s="32" t="s">
        <v>1159</v>
      </c>
      <c r="O150" s="32" t="s">
        <v>816</v>
      </c>
      <c r="P150" s="32" t="s">
        <v>1055</v>
      </c>
    </row>
    <row r="151" spans="1:16" ht="409.6" customHeight="1" x14ac:dyDescent="0.25">
      <c r="A151" s="32">
        <v>149</v>
      </c>
      <c r="B151" s="32" t="s">
        <v>1160</v>
      </c>
      <c r="C151" s="32"/>
      <c r="D151" s="32" t="s">
        <v>1161</v>
      </c>
      <c r="E151" s="32" t="s">
        <v>1162</v>
      </c>
      <c r="F151" s="32" t="s">
        <v>1163</v>
      </c>
      <c r="G151" s="32" t="s">
        <v>1164</v>
      </c>
      <c r="H151" s="32" t="s">
        <v>1165</v>
      </c>
      <c r="I151" s="32">
        <v>4</v>
      </c>
      <c r="J151" s="32" t="s">
        <v>1166</v>
      </c>
      <c r="K151" s="32"/>
      <c r="L151" s="32" t="s">
        <v>453</v>
      </c>
      <c r="M151" s="32" t="s">
        <v>29</v>
      </c>
      <c r="N151" s="32" t="s">
        <v>1167</v>
      </c>
      <c r="O151" s="32" t="s">
        <v>816</v>
      </c>
      <c r="P151" s="32" t="s">
        <v>1055</v>
      </c>
    </row>
    <row r="152" spans="1:16" ht="409.6" customHeight="1" x14ac:dyDescent="0.25">
      <c r="A152" s="32">
        <v>150</v>
      </c>
      <c r="B152" s="32" t="s">
        <v>1168</v>
      </c>
      <c r="C152" s="32"/>
      <c r="D152" s="32" t="s">
        <v>158</v>
      </c>
      <c r="E152" s="32" t="s">
        <v>276</v>
      </c>
      <c r="F152" s="32" t="s">
        <v>459</v>
      </c>
      <c r="G152" s="32" t="s">
        <v>1169</v>
      </c>
      <c r="H152" s="32" t="s">
        <v>675</v>
      </c>
      <c r="I152" s="32">
        <v>2</v>
      </c>
      <c r="J152" s="32" t="s">
        <v>1170</v>
      </c>
      <c r="K152" s="32"/>
      <c r="L152" s="32" t="s">
        <v>453</v>
      </c>
      <c r="M152" s="32" t="s">
        <v>29</v>
      </c>
      <c r="N152" s="32" t="s">
        <v>1171</v>
      </c>
      <c r="O152" s="32" t="s">
        <v>816</v>
      </c>
      <c r="P152" s="32" t="s">
        <v>1055</v>
      </c>
    </row>
    <row r="153" spans="1:16" ht="409.6" customHeight="1" x14ac:dyDescent="0.25">
      <c r="A153" s="32">
        <v>151</v>
      </c>
      <c r="B153" s="32" t="s">
        <v>1172</v>
      </c>
      <c r="C153" s="32"/>
      <c r="D153" s="32" t="s">
        <v>1173</v>
      </c>
      <c r="E153" s="32" t="s">
        <v>1174</v>
      </c>
      <c r="F153" s="32" t="s">
        <v>1175</v>
      </c>
      <c r="G153" s="32" t="s">
        <v>1176</v>
      </c>
      <c r="H153" s="32" t="s">
        <v>1177</v>
      </c>
      <c r="I153" s="32">
        <v>3</v>
      </c>
      <c r="J153" s="32" t="s">
        <v>1178</v>
      </c>
      <c r="K153" s="32"/>
      <c r="L153" s="32" t="s">
        <v>453</v>
      </c>
      <c r="M153" s="32" t="s">
        <v>29</v>
      </c>
      <c r="N153" s="32" t="s">
        <v>1179</v>
      </c>
      <c r="O153" s="32" t="s">
        <v>816</v>
      </c>
      <c r="P153" s="32" t="s">
        <v>1055</v>
      </c>
    </row>
    <row r="154" spans="1:16" ht="409.6" customHeight="1" x14ac:dyDescent="0.25">
      <c r="A154" s="32">
        <v>152</v>
      </c>
      <c r="B154" s="32" t="s">
        <v>1180</v>
      </c>
      <c r="C154" s="32"/>
      <c r="D154" s="32" t="s">
        <v>689</v>
      </c>
      <c r="E154" s="32" t="s">
        <v>449</v>
      </c>
      <c r="F154" s="32" t="s">
        <v>1120</v>
      </c>
      <c r="G154" s="32" t="s">
        <v>687</v>
      </c>
      <c r="H154" s="32" t="s">
        <v>1181</v>
      </c>
      <c r="I154" s="32">
        <v>4</v>
      </c>
      <c r="J154" s="32" t="s">
        <v>1182</v>
      </c>
      <c r="K154" s="32"/>
      <c r="L154" s="32" t="s">
        <v>453</v>
      </c>
      <c r="M154" s="32" t="s">
        <v>29</v>
      </c>
      <c r="N154" s="32" t="s">
        <v>1183</v>
      </c>
      <c r="O154" s="32" t="s">
        <v>816</v>
      </c>
      <c r="P154" s="32" t="s">
        <v>1055</v>
      </c>
    </row>
    <row r="155" spans="1:16" ht="409.6" customHeight="1" x14ac:dyDescent="0.25">
      <c r="A155" s="32">
        <v>153</v>
      </c>
      <c r="B155" s="32" t="s">
        <v>1184</v>
      </c>
      <c r="C155" s="32"/>
      <c r="D155" s="32" t="s">
        <v>1185</v>
      </c>
      <c r="E155" s="32" t="s">
        <v>1186</v>
      </c>
      <c r="F155" s="32" t="s">
        <v>1187</v>
      </c>
      <c r="G155" s="32" t="s">
        <v>1188</v>
      </c>
      <c r="H155" s="32" t="s">
        <v>1189</v>
      </c>
      <c r="I155" s="32">
        <v>1</v>
      </c>
      <c r="J155" s="32" t="s">
        <v>1190</v>
      </c>
      <c r="K155" s="32"/>
      <c r="L155" s="32" t="s">
        <v>453</v>
      </c>
      <c r="M155" s="32" t="s">
        <v>29</v>
      </c>
      <c r="N155" s="32" t="s">
        <v>1191</v>
      </c>
      <c r="O155" s="32" t="s">
        <v>816</v>
      </c>
      <c r="P155" s="32" t="s">
        <v>1055</v>
      </c>
    </row>
    <row r="156" spans="1:16" ht="409.6" customHeight="1" x14ac:dyDescent="0.25">
      <c r="A156" s="32">
        <v>154</v>
      </c>
      <c r="B156" s="32" t="s">
        <v>1192</v>
      </c>
      <c r="C156" s="32"/>
      <c r="D156" s="32" t="s">
        <v>1193</v>
      </c>
      <c r="E156" s="32" t="s">
        <v>1194</v>
      </c>
      <c r="F156" s="32" t="s">
        <v>1195</v>
      </c>
      <c r="G156" s="32" t="s">
        <v>1196</v>
      </c>
      <c r="H156" s="32" t="s">
        <v>1197</v>
      </c>
      <c r="I156" s="32">
        <v>5</v>
      </c>
      <c r="J156" s="32" t="s">
        <v>1198</v>
      </c>
      <c r="K156" s="32"/>
      <c r="L156" s="32" t="s">
        <v>453</v>
      </c>
      <c r="M156" s="32" t="s">
        <v>29</v>
      </c>
      <c r="N156" s="32" t="s">
        <v>1199</v>
      </c>
      <c r="O156" s="32" t="s">
        <v>816</v>
      </c>
      <c r="P156" s="32" t="s">
        <v>1055</v>
      </c>
    </row>
    <row r="157" spans="1:16" ht="409.6" customHeight="1" x14ac:dyDescent="0.25">
      <c r="A157" s="32">
        <v>155</v>
      </c>
      <c r="B157" s="32" t="s">
        <v>1200</v>
      </c>
      <c r="C157" s="32"/>
      <c r="D157" s="32" t="s">
        <v>161</v>
      </c>
      <c r="E157" s="32" t="s">
        <v>183</v>
      </c>
      <c r="F157" s="32" t="s">
        <v>362</v>
      </c>
      <c r="G157" s="32" t="s">
        <v>160</v>
      </c>
      <c r="H157" s="32" t="s">
        <v>1201</v>
      </c>
      <c r="I157" s="32">
        <v>3</v>
      </c>
      <c r="J157" s="32" t="s">
        <v>1202</v>
      </c>
      <c r="K157" s="32"/>
      <c r="L157" s="32" t="s">
        <v>1203</v>
      </c>
      <c r="M157" s="32" t="s">
        <v>29</v>
      </c>
      <c r="N157" s="32" t="s">
        <v>1204</v>
      </c>
      <c r="O157" s="32" t="s">
        <v>816</v>
      </c>
      <c r="P157" s="32" t="s">
        <v>1055</v>
      </c>
    </row>
    <row r="158" spans="1:16" ht="409.6" customHeight="1" x14ac:dyDescent="0.25">
      <c r="A158" s="32">
        <v>156</v>
      </c>
      <c r="B158" s="32" t="s">
        <v>1205</v>
      </c>
      <c r="C158" s="32"/>
      <c r="D158" s="32" t="s">
        <v>1206</v>
      </c>
      <c r="E158" s="32" t="s">
        <v>1207</v>
      </c>
      <c r="F158" s="32" t="s">
        <v>1208</v>
      </c>
      <c r="G158" s="32" t="s">
        <v>1209</v>
      </c>
      <c r="H158" s="32" t="s">
        <v>1210</v>
      </c>
      <c r="I158" s="32">
        <v>3</v>
      </c>
      <c r="J158" s="32" t="s">
        <v>1211</v>
      </c>
      <c r="K158" s="32"/>
      <c r="L158" s="32" t="s">
        <v>1203</v>
      </c>
      <c r="M158" s="32" t="s">
        <v>29</v>
      </c>
      <c r="N158" s="32" t="s">
        <v>1212</v>
      </c>
      <c r="O158" s="32" t="s">
        <v>816</v>
      </c>
      <c r="P158" s="32" t="s">
        <v>1055</v>
      </c>
    </row>
    <row r="159" spans="1:16" ht="409.6" customHeight="1" x14ac:dyDescent="0.25">
      <c r="A159" s="32">
        <v>157</v>
      </c>
      <c r="B159" s="32" t="s">
        <v>1213</v>
      </c>
      <c r="C159" s="32"/>
      <c r="D159" s="32" t="s">
        <v>440</v>
      </c>
      <c r="E159" s="32" t="s">
        <v>1214</v>
      </c>
      <c r="F159" s="32" t="s">
        <v>442</v>
      </c>
      <c r="G159" s="32" t="s">
        <v>1215</v>
      </c>
      <c r="H159" s="32" t="s">
        <v>1216</v>
      </c>
      <c r="I159" s="32">
        <v>2</v>
      </c>
      <c r="J159" s="32" t="s">
        <v>1217</v>
      </c>
      <c r="K159" s="32"/>
      <c r="L159" s="32" t="s">
        <v>1203</v>
      </c>
      <c r="M159" s="32" t="s">
        <v>29</v>
      </c>
      <c r="N159" s="32" t="s">
        <v>1218</v>
      </c>
      <c r="O159" s="32" t="s">
        <v>816</v>
      </c>
      <c r="P159" s="32" t="s">
        <v>1055</v>
      </c>
    </row>
    <row r="160" spans="1:16" ht="409.6" customHeight="1" x14ac:dyDescent="0.25">
      <c r="A160" s="32">
        <v>158</v>
      </c>
      <c r="B160" s="32" t="s">
        <v>1219</v>
      </c>
      <c r="C160" s="32"/>
      <c r="D160" s="32" t="s">
        <v>1220</v>
      </c>
      <c r="E160" s="32" t="s">
        <v>1221</v>
      </c>
      <c r="F160" s="32" t="s">
        <v>1222</v>
      </c>
      <c r="G160" s="32" t="s">
        <v>1223</v>
      </c>
      <c r="H160" s="32" t="s">
        <v>1224</v>
      </c>
      <c r="I160" s="32">
        <v>3</v>
      </c>
      <c r="J160" s="32" t="s">
        <v>1225</v>
      </c>
      <c r="K160" s="32"/>
      <c r="L160" s="32" t="s">
        <v>1203</v>
      </c>
      <c r="M160" s="32" t="s">
        <v>29</v>
      </c>
      <c r="N160" s="32" t="s">
        <v>1226</v>
      </c>
      <c r="O160" s="32" t="s">
        <v>816</v>
      </c>
      <c r="P160" s="32" t="s">
        <v>1055</v>
      </c>
    </row>
    <row r="161" spans="1:16" ht="409.6" customHeight="1" x14ac:dyDescent="0.25">
      <c r="A161" s="32">
        <v>159</v>
      </c>
      <c r="B161" s="32" t="s">
        <v>1227</v>
      </c>
      <c r="C161" s="32"/>
      <c r="D161" s="32" t="s">
        <v>1228</v>
      </c>
      <c r="E161" s="32" t="s">
        <v>1229</v>
      </c>
      <c r="F161" s="32" t="s">
        <v>1230</v>
      </c>
      <c r="G161" s="32" t="s">
        <v>1231</v>
      </c>
      <c r="H161" s="32" t="s">
        <v>1232</v>
      </c>
      <c r="I161" s="32">
        <v>3</v>
      </c>
      <c r="J161" s="32" t="s">
        <v>1233</v>
      </c>
      <c r="K161" s="32"/>
      <c r="L161" s="32" t="s">
        <v>1203</v>
      </c>
      <c r="M161" s="32" t="s">
        <v>29</v>
      </c>
      <c r="N161" s="32" t="s">
        <v>1234</v>
      </c>
      <c r="O161" s="32" t="s">
        <v>816</v>
      </c>
      <c r="P161" s="32" t="s">
        <v>1055</v>
      </c>
    </row>
    <row r="162" spans="1:16" ht="409.6" customHeight="1" x14ac:dyDescent="0.25">
      <c r="A162" s="32">
        <v>160</v>
      </c>
      <c r="B162" s="32" t="s">
        <v>1235</v>
      </c>
      <c r="C162" s="32"/>
      <c r="D162" s="32" t="s">
        <v>306</v>
      </c>
      <c r="E162" s="32" t="s">
        <v>207</v>
      </c>
      <c r="F162" s="32" t="s">
        <v>1236</v>
      </c>
      <c r="G162" s="32" t="s">
        <v>1237</v>
      </c>
      <c r="H162" s="32" t="s">
        <v>1238</v>
      </c>
      <c r="I162" s="32">
        <v>2</v>
      </c>
      <c r="J162" s="32" t="s">
        <v>1239</v>
      </c>
      <c r="K162" s="32"/>
      <c r="L162" s="32" t="s">
        <v>1203</v>
      </c>
      <c r="M162" s="32" t="s">
        <v>29</v>
      </c>
      <c r="N162" s="32" t="s">
        <v>1240</v>
      </c>
      <c r="O162" s="32" t="s">
        <v>816</v>
      </c>
      <c r="P162" s="32" t="s">
        <v>1055</v>
      </c>
    </row>
    <row r="163" spans="1:16" ht="409.6" customHeight="1" x14ac:dyDescent="0.25">
      <c r="A163" s="32">
        <v>161</v>
      </c>
      <c r="B163" s="32" t="s">
        <v>1241</v>
      </c>
      <c r="C163" s="32"/>
      <c r="D163" s="32" t="s">
        <v>107</v>
      </c>
      <c r="E163" s="32" t="s">
        <v>440</v>
      </c>
      <c r="F163" s="32" t="s">
        <v>447</v>
      </c>
      <c r="G163" s="32" t="s">
        <v>1058</v>
      </c>
      <c r="H163" s="32" t="s">
        <v>1214</v>
      </c>
      <c r="I163" s="32">
        <v>3</v>
      </c>
      <c r="J163" s="32" t="s">
        <v>1242</v>
      </c>
      <c r="K163" s="32"/>
      <c r="L163" s="32" t="s">
        <v>1203</v>
      </c>
      <c r="M163" s="32" t="s">
        <v>29</v>
      </c>
      <c r="N163" s="32" t="s">
        <v>1243</v>
      </c>
      <c r="O163" s="32" t="s">
        <v>816</v>
      </c>
      <c r="P163" s="32" t="s">
        <v>1055</v>
      </c>
    </row>
    <row r="164" spans="1:16" ht="409.6" customHeight="1" x14ac:dyDescent="0.25">
      <c r="A164" s="32">
        <v>162</v>
      </c>
      <c r="B164" s="32" t="s">
        <v>1244</v>
      </c>
      <c r="C164" s="32"/>
      <c r="D164" s="32" t="s">
        <v>1245</v>
      </c>
      <c r="E164" s="32" t="s">
        <v>1246</v>
      </c>
      <c r="F164" s="32" t="s">
        <v>1247</v>
      </c>
      <c r="G164" s="32" t="s">
        <v>160</v>
      </c>
      <c r="H164" s="32" t="s">
        <v>276</v>
      </c>
      <c r="I164" s="32">
        <v>1</v>
      </c>
      <c r="J164" s="32" t="s">
        <v>1248</v>
      </c>
      <c r="K164" s="32"/>
      <c r="L164" s="32" t="s">
        <v>1203</v>
      </c>
      <c r="M164" s="32" t="s">
        <v>29</v>
      </c>
      <c r="N164" s="32" t="s">
        <v>1249</v>
      </c>
      <c r="O164" s="32" t="s">
        <v>816</v>
      </c>
      <c r="P164" s="32" t="s">
        <v>1055</v>
      </c>
    </row>
    <row r="165" spans="1:16" ht="409.6" customHeight="1" x14ac:dyDescent="0.25">
      <c r="A165" s="32">
        <v>163</v>
      </c>
      <c r="B165" s="32" t="s">
        <v>1250</v>
      </c>
      <c r="C165" s="32"/>
      <c r="D165" s="32" t="s">
        <v>1251</v>
      </c>
      <c r="E165" s="32" t="s">
        <v>1252</v>
      </c>
      <c r="F165" s="32" t="s">
        <v>1253</v>
      </c>
      <c r="G165" s="32" t="s">
        <v>1254</v>
      </c>
      <c r="H165" s="32" t="s">
        <v>1255</v>
      </c>
      <c r="I165" s="32">
        <v>3</v>
      </c>
      <c r="J165" s="32" t="s">
        <v>1256</v>
      </c>
      <c r="K165" s="32"/>
      <c r="L165" s="32" t="s">
        <v>1203</v>
      </c>
      <c r="M165" s="32" t="s">
        <v>29</v>
      </c>
      <c r="N165" s="32" t="s">
        <v>1257</v>
      </c>
      <c r="O165" s="32" t="s">
        <v>816</v>
      </c>
      <c r="P165" s="32" t="s">
        <v>1055</v>
      </c>
    </row>
    <row r="166" spans="1:16" ht="409.6" customHeight="1" x14ac:dyDescent="0.25">
      <c r="A166" s="32">
        <v>164</v>
      </c>
      <c r="B166" s="32" t="s">
        <v>1258</v>
      </c>
      <c r="C166" s="32"/>
      <c r="D166" s="32" t="s">
        <v>740</v>
      </c>
      <c r="E166" s="32" t="s">
        <v>1058</v>
      </c>
      <c r="F166" s="32" t="s">
        <v>333</v>
      </c>
      <c r="G166" s="32" t="s">
        <v>1259</v>
      </c>
      <c r="H166" s="32" t="s">
        <v>1260</v>
      </c>
      <c r="I166" s="32">
        <v>3</v>
      </c>
      <c r="J166" s="32" t="s">
        <v>1261</v>
      </c>
      <c r="K166" s="32"/>
      <c r="L166" s="32" t="s">
        <v>1203</v>
      </c>
      <c r="M166" s="32" t="s">
        <v>29</v>
      </c>
      <c r="N166" s="32" t="s">
        <v>1262</v>
      </c>
      <c r="O166" s="32" t="s">
        <v>816</v>
      </c>
      <c r="P166" s="32" t="s">
        <v>1055</v>
      </c>
    </row>
    <row r="167" spans="1:16" ht="409.6" customHeight="1" x14ac:dyDescent="0.25">
      <c r="A167" s="32">
        <v>165</v>
      </c>
      <c r="B167" s="32" t="s">
        <v>1263</v>
      </c>
      <c r="C167" s="32"/>
      <c r="D167" s="32" t="s">
        <v>1264</v>
      </c>
      <c r="E167" s="32" t="s">
        <v>1265</v>
      </c>
      <c r="F167" s="32" t="s">
        <v>1266</v>
      </c>
      <c r="G167" s="32" t="s">
        <v>1267</v>
      </c>
      <c r="H167" s="32" t="s">
        <v>1268</v>
      </c>
      <c r="I167" s="32">
        <v>5</v>
      </c>
      <c r="J167" s="32" t="s">
        <v>1269</v>
      </c>
      <c r="K167" s="32"/>
      <c r="L167" s="32" t="s">
        <v>1203</v>
      </c>
      <c r="M167" s="32" t="s">
        <v>29</v>
      </c>
      <c r="N167" s="32" t="s">
        <v>1270</v>
      </c>
      <c r="O167" s="32" t="s">
        <v>816</v>
      </c>
      <c r="P167" s="32" t="s">
        <v>1055</v>
      </c>
    </row>
    <row r="168" spans="1:16" ht="409.6" customHeight="1" x14ac:dyDescent="0.25">
      <c r="A168" s="32">
        <v>166</v>
      </c>
      <c r="B168" s="32" t="s">
        <v>1271</v>
      </c>
      <c r="C168" s="32"/>
      <c r="D168" s="32" t="s">
        <v>1272</v>
      </c>
      <c r="E168" s="32" t="s">
        <v>1273</v>
      </c>
      <c r="F168" s="32" t="s">
        <v>1274</v>
      </c>
      <c r="G168" s="32" t="s">
        <v>1275</v>
      </c>
      <c r="H168" s="32" t="s">
        <v>1276</v>
      </c>
      <c r="I168" s="32">
        <v>3</v>
      </c>
      <c r="J168" s="32" t="s">
        <v>1277</v>
      </c>
      <c r="K168" s="32"/>
      <c r="L168" s="32" t="s">
        <v>1203</v>
      </c>
      <c r="M168" s="32" t="s">
        <v>29</v>
      </c>
      <c r="N168" s="32" t="s">
        <v>1278</v>
      </c>
      <c r="O168" s="32" t="s">
        <v>816</v>
      </c>
      <c r="P168" s="32" t="s">
        <v>1055</v>
      </c>
    </row>
    <row r="169" spans="1:16" ht="409.6" customHeight="1" x14ac:dyDescent="0.25">
      <c r="A169" s="32">
        <v>167</v>
      </c>
      <c r="B169" s="32" t="s">
        <v>1279</v>
      </c>
      <c r="C169" s="32"/>
      <c r="D169" s="32" t="s">
        <v>1280</v>
      </c>
      <c r="E169" s="32" t="s">
        <v>1281</v>
      </c>
      <c r="F169" s="32" t="s">
        <v>1282</v>
      </c>
      <c r="G169" s="32" t="s">
        <v>1283</v>
      </c>
      <c r="H169" s="32" t="s">
        <v>1284</v>
      </c>
      <c r="I169" s="32">
        <v>4</v>
      </c>
      <c r="J169" s="32" t="s">
        <v>1285</v>
      </c>
      <c r="K169" s="32"/>
      <c r="L169" s="32" t="s">
        <v>1203</v>
      </c>
      <c r="M169" s="32" t="s">
        <v>29</v>
      </c>
      <c r="N169" s="32" t="s">
        <v>1286</v>
      </c>
      <c r="O169" s="32" t="s">
        <v>816</v>
      </c>
      <c r="P169" s="32" t="s">
        <v>1055</v>
      </c>
    </row>
    <row r="170" spans="1:16" ht="409.6" customHeight="1" x14ac:dyDescent="0.25">
      <c r="A170" s="32">
        <v>168</v>
      </c>
      <c r="B170" s="32" t="s">
        <v>1287</v>
      </c>
      <c r="C170" s="32"/>
      <c r="D170" s="32" t="s">
        <v>1288</v>
      </c>
      <c r="E170" s="32" t="s">
        <v>1289</v>
      </c>
      <c r="F170" s="32" t="s">
        <v>1290</v>
      </c>
      <c r="G170" s="32" t="s">
        <v>1291</v>
      </c>
      <c r="H170" s="32" t="s">
        <v>1292</v>
      </c>
      <c r="I170" s="32">
        <v>1</v>
      </c>
      <c r="J170" s="32" t="s">
        <v>1293</v>
      </c>
      <c r="K170" s="32"/>
      <c r="L170" s="32" t="s">
        <v>1203</v>
      </c>
      <c r="M170" s="32" t="s">
        <v>29</v>
      </c>
      <c r="N170" s="32" t="s">
        <v>1294</v>
      </c>
      <c r="O170" s="32" t="s">
        <v>816</v>
      </c>
      <c r="P170" s="32" t="s">
        <v>1055</v>
      </c>
    </row>
    <row r="171" spans="1:16" ht="409.6" customHeight="1" x14ac:dyDescent="0.25">
      <c r="A171" s="32">
        <v>169</v>
      </c>
      <c r="B171" s="32" t="s">
        <v>1295</v>
      </c>
      <c r="C171" s="32"/>
      <c r="D171" s="32" t="s">
        <v>306</v>
      </c>
      <c r="E171" s="32" t="s">
        <v>207</v>
      </c>
      <c r="F171" s="32" t="s">
        <v>1236</v>
      </c>
      <c r="G171" s="32" t="s">
        <v>1237</v>
      </c>
      <c r="H171" s="32" t="s">
        <v>1296</v>
      </c>
      <c r="I171" s="32">
        <v>2</v>
      </c>
      <c r="J171" s="32" t="s">
        <v>1297</v>
      </c>
      <c r="K171" s="32"/>
      <c r="L171" s="32" t="s">
        <v>1203</v>
      </c>
      <c r="M171" s="32" t="s">
        <v>29</v>
      </c>
      <c r="N171" s="32" t="s">
        <v>1298</v>
      </c>
      <c r="O171" s="32" t="s">
        <v>816</v>
      </c>
      <c r="P171" s="32" t="s">
        <v>1055</v>
      </c>
    </row>
    <row r="172" spans="1:16" ht="409.6" customHeight="1" x14ac:dyDescent="0.25">
      <c r="A172" s="32">
        <v>170</v>
      </c>
      <c r="B172" s="32" t="s">
        <v>1299</v>
      </c>
      <c r="C172" s="32"/>
      <c r="D172" s="32" t="s">
        <v>1300</v>
      </c>
      <c r="E172" s="32" t="s">
        <v>416</v>
      </c>
      <c r="F172" s="32" t="s">
        <v>417</v>
      </c>
      <c r="G172" s="32" t="s">
        <v>418</v>
      </c>
      <c r="H172" s="32" t="s">
        <v>419</v>
      </c>
      <c r="I172" s="32">
        <v>3</v>
      </c>
      <c r="J172" s="32" t="s">
        <v>1301</v>
      </c>
      <c r="K172" s="32"/>
      <c r="L172" s="32" t="s">
        <v>1203</v>
      </c>
      <c r="M172" s="32" t="s">
        <v>29</v>
      </c>
      <c r="N172" s="32" t="s">
        <v>1302</v>
      </c>
      <c r="O172" s="32" t="s">
        <v>816</v>
      </c>
      <c r="P172" s="32" t="s">
        <v>1055</v>
      </c>
    </row>
    <row r="173" spans="1:16" ht="409.6" customHeight="1" x14ac:dyDescent="0.25">
      <c r="A173" s="32">
        <v>171</v>
      </c>
      <c r="B173" s="32" t="s">
        <v>1303</v>
      </c>
      <c r="C173" s="32"/>
      <c r="D173" s="32" t="s">
        <v>1304</v>
      </c>
      <c r="E173" s="32" t="s">
        <v>1305</v>
      </c>
      <c r="F173" s="32" t="s">
        <v>1306</v>
      </c>
      <c r="G173" s="32" t="s">
        <v>1307</v>
      </c>
      <c r="H173" s="32" t="s">
        <v>157</v>
      </c>
      <c r="I173" s="32">
        <v>2</v>
      </c>
      <c r="J173" s="32" t="s">
        <v>1308</v>
      </c>
      <c r="K173" s="32"/>
      <c r="L173" s="32" t="s">
        <v>189</v>
      </c>
      <c r="M173" s="32" t="s">
        <v>29</v>
      </c>
      <c r="N173" s="32" t="s">
        <v>1309</v>
      </c>
      <c r="O173" s="32" t="s">
        <v>816</v>
      </c>
      <c r="P173" s="32" t="s">
        <v>1055</v>
      </c>
    </row>
    <row r="174" spans="1:16" ht="409.6" customHeight="1" x14ac:dyDescent="0.25">
      <c r="A174" s="32">
        <v>172</v>
      </c>
      <c r="B174" s="32" t="s">
        <v>1310</v>
      </c>
      <c r="C174" s="32"/>
      <c r="D174" s="32" t="s">
        <v>1311</v>
      </c>
      <c r="E174" s="32" t="s">
        <v>1312</v>
      </c>
      <c r="F174" s="32" t="s">
        <v>1313</v>
      </c>
      <c r="G174" s="32" t="s">
        <v>1314</v>
      </c>
      <c r="H174" s="32" t="s">
        <v>1315</v>
      </c>
      <c r="I174" s="32">
        <v>2</v>
      </c>
      <c r="J174" s="32" t="s">
        <v>1316</v>
      </c>
      <c r="K174" s="32"/>
      <c r="L174" s="32" t="s">
        <v>189</v>
      </c>
      <c r="M174" s="32" t="s">
        <v>29</v>
      </c>
      <c r="N174" s="32" t="s">
        <v>1317</v>
      </c>
      <c r="O174" s="32" t="s">
        <v>816</v>
      </c>
      <c r="P174" s="32" t="s">
        <v>1055</v>
      </c>
    </row>
    <row r="175" spans="1:16" ht="409.6" customHeight="1" x14ac:dyDescent="0.25">
      <c r="A175" s="32">
        <v>173</v>
      </c>
      <c r="B175" s="32" t="s">
        <v>1318</v>
      </c>
      <c r="C175" s="32"/>
      <c r="D175" s="32" t="s">
        <v>1319</v>
      </c>
      <c r="E175" s="32" t="s">
        <v>1320</v>
      </c>
      <c r="F175" s="32" t="s">
        <v>1066</v>
      </c>
      <c r="G175" s="32" t="s">
        <v>1321</v>
      </c>
      <c r="H175" s="32" t="s">
        <v>1322</v>
      </c>
      <c r="I175" s="32">
        <v>1</v>
      </c>
      <c r="J175" s="32" t="s">
        <v>1323</v>
      </c>
      <c r="K175" s="32"/>
      <c r="L175" s="32" t="s">
        <v>189</v>
      </c>
      <c r="M175" s="32" t="s">
        <v>29</v>
      </c>
      <c r="N175" s="32" t="s">
        <v>1324</v>
      </c>
      <c r="O175" s="32" t="s">
        <v>816</v>
      </c>
      <c r="P175" s="32" t="s">
        <v>1055</v>
      </c>
    </row>
    <row r="176" spans="1:16" ht="409.6" customHeight="1" x14ac:dyDescent="0.25">
      <c r="A176" s="32">
        <v>174</v>
      </c>
      <c r="B176" s="32" t="s">
        <v>1325</v>
      </c>
      <c r="C176" s="32"/>
      <c r="D176" s="32" t="s">
        <v>1326</v>
      </c>
      <c r="E176" s="32" t="s">
        <v>1327</v>
      </c>
      <c r="F176" s="32" t="s">
        <v>1328</v>
      </c>
      <c r="G176" s="32" t="s">
        <v>1329</v>
      </c>
      <c r="H176" s="32" t="s">
        <v>1330</v>
      </c>
      <c r="I176" s="32">
        <v>3</v>
      </c>
      <c r="J176" s="32" t="s">
        <v>1331</v>
      </c>
      <c r="K176" s="32"/>
      <c r="L176" s="32" t="s">
        <v>189</v>
      </c>
      <c r="M176" s="32" t="s">
        <v>29</v>
      </c>
      <c r="N176" s="32" t="s">
        <v>1332</v>
      </c>
      <c r="O176" s="32" t="s">
        <v>816</v>
      </c>
      <c r="P176" s="32" t="s">
        <v>1055</v>
      </c>
    </row>
    <row r="177" spans="1:16" ht="409.6" customHeight="1" x14ac:dyDescent="0.25">
      <c r="A177" s="32">
        <v>175</v>
      </c>
      <c r="B177" s="32" t="s">
        <v>1333</v>
      </c>
      <c r="C177" s="32"/>
      <c r="D177" s="32" t="s">
        <v>560</v>
      </c>
      <c r="E177" s="32" t="s">
        <v>1334</v>
      </c>
      <c r="F177" s="32" t="s">
        <v>1335</v>
      </c>
      <c r="G177" s="32" t="s">
        <v>675</v>
      </c>
      <c r="H177" s="32" t="s">
        <v>1336</v>
      </c>
      <c r="I177" s="32">
        <v>3</v>
      </c>
      <c r="J177" s="32" t="s">
        <v>1337</v>
      </c>
      <c r="K177" s="32"/>
      <c r="L177" s="32" t="s">
        <v>189</v>
      </c>
      <c r="M177" s="32" t="s">
        <v>29</v>
      </c>
      <c r="N177" s="32" t="s">
        <v>1338</v>
      </c>
      <c r="O177" s="32" t="s">
        <v>816</v>
      </c>
      <c r="P177" s="32" t="s">
        <v>1055</v>
      </c>
    </row>
    <row r="178" spans="1:16" ht="409.6" customHeight="1" x14ac:dyDescent="0.25">
      <c r="A178" s="32">
        <v>176</v>
      </c>
      <c r="B178" s="32" t="s">
        <v>1339</v>
      </c>
      <c r="C178" s="32"/>
      <c r="D178" s="32" t="s">
        <v>1340</v>
      </c>
      <c r="E178" s="32" t="s">
        <v>1341</v>
      </c>
      <c r="F178" s="32" t="s">
        <v>1342</v>
      </c>
      <c r="G178" s="32" t="s">
        <v>1343</v>
      </c>
      <c r="H178" s="32" t="s">
        <v>1344</v>
      </c>
      <c r="I178" s="32">
        <v>2</v>
      </c>
      <c r="J178" s="32" t="s">
        <v>1345</v>
      </c>
      <c r="K178" s="32"/>
      <c r="L178" s="32" t="s">
        <v>522</v>
      </c>
      <c r="M178" s="32" t="s">
        <v>29</v>
      </c>
      <c r="N178" s="32" t="s">
        <v>1346</v>
      </c>
      <c r="O178" s="32" t="s">
        <v>816</v>
      </c>
      <c r="P178" s="32" t="s">
        <v>1055</v>
      </c>
    </row>
    <row r="179" spans="1:16" ht="409.6" customHeight="1" x14ac:dyDescent="0.25">
      <c r="A179" s="32">
        <v>177</v>
      </c>
      <c r="B179" s="32" t="s">
        <v>1347</v>
      </c>
      <c r="C179" s="32"/>
      <c r="D179" s="32" t="s">
        <v>1348</v>
      </c>
      <c r="E179" s="32" t="s">
        <v>1349</v>
      </c>
      <c r="F179" s="32" t="s">
        <v>1350</v>
      </c>
      <c r="G179" s="32" t="s">
        <v>727</v>
      </c>
      <c r="H179" s="32" t="s">
        <v>1351</v>
      </c>
      <c r="I179" s="32">
        <v>1</v>
      </c>
      <c r="J179" s="32" t="s">
        <v>1352</v>
      </c>
      <c r="K179" s="32"/>
      <c r="L179" s="32" t="s">
        <v>189</v>
      </c>
      <c r="M179" s="32" t="s">
        <v>29</v>
      </c>
      <c r="N179" s="32" t="s">
        <v>1353</v>
      </c>
      <c r="O179" s="32" t="s">
        <v>816</v>
      </c>
      <c r="P179" s="32" t="s">
        <v>1055</v>
      </c>
    </row>
    <row r="180" spans="1:16" ht="409.6" customHeight="1" x14ac:dyDescent="0.25">
      <c r="A180" s="32">
        <v>178</v>
      </c>
      <c r="B180" s="32" t="s">
        <v>1354</v>
      </c>
      <c r="C180" s="32"/>
      <c r="D180" s="32" t="s">
        <v>1355</v>
      </c>
      <c r="E180" s="32" t="s">
        <v>1356</v>
      </c>
      <c r="F180" s="32" t="s">
        <v>1357</v>
      </c>
      <c r="G180" s="32" t="s">
        <v>1358</v>
      </c>
      <c r="H180" s="32" t="s">
        <v>1359</v>
      </c>
      <c r="I180" s="32">
        <v>2</v>
      </c>
      <c r="J180" s="32" t="s">
        <v>1360</v>
      </c>
      <c r="K180" s="32"/>
      <c r="L180" s="32" t="s">
        <v>189</v>
      </c>
      <c r="M180" s="32" t="s">
        <v>29</v>
      </c>
      <c r="N180" s="32" t="s">
        <v>1361</v>
      </c>
      <c r="O180" s="32" t="s">
        <v>816</v>
      </c>
      <c r="P180" s="32" t="s">
        <v>1055</v>
      </c>
    </row>
    <row r="181" spans="1:16" ht="409.6" customHeight="1" x14ac:dyDescent="0.25">
      <c r="A181" s="32">
        <v>179</v>
      </c>
      <c r="B181" s="32" t="s">
        <v>1362</v>
      </c>
      <c r="C181" s="32"/>
      <c r="D181" s="32" t="s">
        <v>1363</v>
      </c>
      <c r="E181" s="32" t="s">
        <v>362</v>
      </c>
      <c r="F181" s="32" t="s">
        <v>161</v>
      </c>
      <c r="G181" s="32" t="s">
        <v>689</v>
      </c>
      <c r="H181" s="32" t="s">
        <v>674</v>
      </c>
      <c r="I181" s="32">
        <v>1</v>
      </c>
      <c r="J181" s="32" t="s">
        <v>1364</v>
      </c>
      <c r="K181" s="32"/>
      <c r="L181" s="32" t="s">
        <v>189</v>
      </c>
      <c r="M181" s="32" t="s">
        <v>29</v>
      </c>
      <c r="N181" s="32" t="s">
        <v>1365</v>
      </c>
      <c r="O181" s="32" t="s">
        <v>816</v>
      </c>
      <c r="P181" s="32" t="s">
        <v>1055</v>
      </c>
    </row>
    <row r="182" spans="1:16" ht="409.6" customHeight="1" x14ac:dyDescent="0.25">
      <c r="A182" s="32">
        <v>180</v>
      </c>
      <c r="B182" s="32" t="s">
        <v>1366</v>
      </c>
      <c r="C182" s="32"/>
      <c r="D182" s="32" t="s">
        <v>1367</v>
      </c>
      <c r="E182" s="32" t="s">
        <v>1368</v>
      </c>
      <c r="F182" s="32" t="s">
        <v>1369</v>
      </c>
      <c r="G182" s="32" t="s">
        <v>1370</v>
      </c>
      <c r="H182" s="32" t="s">
        <v>1371</v>
      </c>
      <c r="I182" s="32">
        <v>2</v>
      </c>
      <c r="J182" s="32" t="s">
        <v>1372</v>
      </c>
      <c r="K182" s="32"/>
      <c r="L182" s="32" t="s">
        <v>189</v>
      </c>
      <c r="M182" s="32" t="s">
        <v>29</v>
      </c>
      <c r="N182" s="32" t="s">
        <v>1373</v>
      </c>
      <c r="O182" s="32" t="s">
        <v>816</v>
      </c>
      <c r="P182" s="32" t="s">
        <v>1055</v>
      </c>
    </row>
    <row r="183" spans="1:16" ht="409.6" customHeight="1" x14ac:dyDescent="0.25">
      <c r="A183" s="32">
        <v>181</v>
      </c>
      <c r="B183" s="32" t="s">
        <v>1374</v>
      </c>
      <c r="C183" s="32"/>
      <c r="D183" s="32" t="s">
        <v>276</v>
      </c>
      <c r="E183" s="32" t="s">
        <v>157</v>
      </c>
      <c r="F183" s="32" t="s">
        <v>1305</v>
      </c>
      <c r="G183" s="32" t="s">
        <v>1375</v>
      </c>
      <c r="H183" s="32" t="s">
        <v>540</v>
      </c>
      <c r="I183" s="32">
        <v>3</v>
      </c>
      <c r="J183" s="32" t="s">
        <v>1376</v>
      </c>
      <c r="K183" s="32"/>
      <c r="L183" s="32" t="s">
        <v>189</v>
      </c>
      <c r="M183" s="32" t="s">
        <v>29</v>
      </c>
      <c r="N183" s="32" t="s">
        <v>1377</v>
      </c>
      <c r="O183" s="32" t="s">
        <v>816</v>
      </c>
      <c r="P183" s="32" t="s">
        <v>1055</v>
      </c>
    </row>
    <row r="184" spans="1:16" ht="409.6" customHeight="1" x14ac:dyDescent="0.25">
      <c r="A184" s="32">
        <v>182</v>
      </c>
      <c r="B184" s="32" t="s">
        <v>1378</v>
      </c>
      <c r="C184" s="32"/>
      <c r="D184" s="32" t="s">
        <v>1379</v>
      </c>
      <c r="E184" s="32" t="s">
        <v>1380</v>
      </c>
      <c r="F184" s="32" t="s">
        <v>1381</v>
      </c>
      <c r="G184" s="32" t="s">
        <v>1131</v>
      </c>
      <c r="H184" s="32" t="s">
        <v>1132</v>
      </c>
      <c r="I184" s="32">
        <v>4</v>
      </c>
      <c r="J184" s="32" t="s">
        <v>1382</v>
      </c>
      <c r="K184" s="32"/>
      <c r="L184" s="32" t="s">
        <v>189</v>
      </c>
      <c r="M184" s="32" t="s">
        <v>29</v>
      </c>
      <c r="N184" s="32" t="s">
        <v>1383</v>
      </c>
      <c r="O184" s="32" t="s">
        <v>816</v>
      </c>
      <c r="P184" s="32" t="s">
        <v>1055</v>
      </c>
    </row>
    <row r="185" spans="1:16" ht="409.6" customHeight="1" x14ac:dyDescent="0.25">
      <c r="A185" s="32">
        <v>183</v>
      </c>
      <c r="B185" s="32" t="s">
        <v>1384</v>
      </c>
      <c r="C185" s="32"/>
      <c r="D185" s="32" t="s">
        <v>1385</v>
      </c>
      <c r="E185" s="32" t="s">
        <v>362</v>
      </c>
      <c r="F185" s="32" t="s">
        <v>161</v>
      </c>
      <c r="G185" s="32" t="s">
        <v>1386</v>
      </c>
      <c r="H185" s="32" t="s">
        <v>1169</v>
      </c>
      <c r="I185" s="32">
        <v>1</v>
      </c>
      <c r="J185" s="32" t="s">
        <v>1387</v>
      </c>
      <c r="K185" s="32"/>
      <c r="L185" s="32" t="s">
        <v>189</v>
      </c>
      <c r="M185" s="32" t="s">
        <v>29</v>
      </c>
      <c r="N185" s="32" t="s">
        <v>1388</v>
      </c>
      <c r="O185" s="32" t="s">
        <v>816</v>
      </c>
      <c r="P185" s="32" t="s">
        <v>1055</v>
      </c>
    </row>
    <row r="186" spans="1:16" ht="409.6" customHeight="1" x14ac:dyDescent="0.25">
      <c r="A186" s="32">
        <v>184</v>
      </c>
      <c r="B186" s="32" t="s">
        <v>1389</v>
      </c>
      <c r="C186" s="32"/>
      <c r="D186" s="32" t="s">
        <v>1390</v>
      </c>
      <c r="E186" s="32" t="s">
        <v>1391</v>
      </c>
      <c r="F186" s="32" t="s">
        <v>1392</v>
      </c>
      <c r="G186" s="32" t="s">
        <v>913</v>
      </c>
      <c r="H186" s="32" t="s">
        <v>1393</v>
      </c>
      <c r="I186" s="32">
        <v>2</v>
      </c>
      <c r="J186" s="32" t="s">
        <v>1394</v>
      </c>
      <c r="K186" s="32"/>
      <c r="L186" s="32" t="s">
        <v>522</v>
      </c>
      <c r="M186" s="32" t="s">
        <v>29</v>
      </c>
      <c r="N186" s="32" t="s">
        <v>1395</v>
      </c>
      <c r="O186" s="32" t="s">
        <v>816</v>
      </c>
      <c r="P186" s="32" t="s">
        <v>1055</v>
      </c>
    </row>
    <row r="187" spans="1:16" ht="409.6" customHeight="1" x14ac:dyDescent="0.25">
      <c r="A187" s="32">
        <v>185</v>
      </c>
      <c r="B187" s="32" t="s">
        <v>1396</v>
      </c>
      <c r="C187" s="32"/>
      <c r="D187" s="32" t="s">
        <v>1367</v>
      </c>
      <c r="E187" s="32" t="s">
        <v>1397</v>
      </c>
      <c r="F187" s="32" t="s">
        <v>1398</v>
      </c>
      <c r="G187" s="32" t="s">
        <v>1371</v>
      </c>
      <c r="H187" s="32" t="s">
        <v>1399</v>
      </c>
      <c r="I187" s="32">
        <v>5</v>
      </c>
      <c r="J187" s="32" t="s">
        <v>1400</v>
      </c>
      <c r="K187" s="32"/>
      <c r="L187" s="32" t="s">
        <v>189</v>
      </c>
      <c r="M187" s="32" t="s">
        <v>29</v>
      </c>
      <c r="N187" s="32" t="s">
        <v>1401</v>
      </c>
      <c r="O187" s="32" t="s">
        <v>816</v>
      </c>
      <c r="P187" s="32" t="s">
        <v>1055</v>
      </c>
    </row>
    <row r="188" spans="1:16" ht="409.6" customHeight="1" x14ac:dyDescent="0.25">
      <c r="A188" s="32">
        <v>186</v>
      </c>
      <c r="B188" s="32" t="s">
        <v>1402</v>
      </c>
      <c r="C188" s="32"/>
      <c r="D188" s="32" t="s">
        <v>527</v>
      </c>
      <c r="E188" s="32" t="s">
        <v>376</v>
      </c>
      <c r="F188" s="32" t="s">
        <v>990</v>
      </c>
      <c r="G188" s="32" t="s">
        <v>525</v>
      </c>
      <c r="H188" s="32" t="s">
        <v>1349</v>
      </c>
      <c r="I188" s="32">
        <v>1</v>
      </c>
      <c r="J188" s="32" t="s">
        <v>1403</v>
      </c>
      <c r="K188" s="32"/>
      <c r="L188" s="32" t="s">
        <v>190</v>
      </c>
      <c r="M188" s="32" t="s">
        <v>29</v>
      </c>
      <c r="N188" s="32" t="s">
        <v>1404</v>
      </c>
      <c r="O188" s="32" t="s">
        <v>816</v>
      </c>
      <c r="P188" s="32" t="s">
        <v>1055</v>
      </c>
    </row>
    <row r="189" spans="1:16" ht="409.6" customHeight="1" x14ac:dyDescent="0.25">
      <c r="A189" s="32">
        <v>187</v>
      </c>
      <c r="B189" s="32" t="s">
        <v>1405</v>
      </c>
      <c r="C189" s="32"/>
      <c r="D189" s="32" t="s">
        <v>1406</v>
      </c>
      <c r="E189" s="32" t="s">
        <v>1407</v>
      </c>
      <c r="F189" s="32" t="s">
        <v>1408</v>
      </c>
      <c r="G189" s="32" t="s">
        <v>1409</v>
      </c>
      <c r="H189" s="32" t="s">
        <v>1410</v>
      </c>
      <c r="I189" s="32">
        <v>3</v>
      </c>
      <c r="J189" s="32" t="s">
        <v>1411</v>
      </c>
      <c r="K189" s="32"/>
      <c r="L189" s="32" t="s">
        <v>190</v>
      </c>
      <c r="M189" s="32" t="s">
        <v>29</v>
      </c>
      <c r="N189" s="32" t="s">
        <v>1412</v>
      </c>
      <c r="O189" s="32" t="s">
        <v>816</v>
      </c>
      <c r="P189" s="32" t="s">
        <v>1055</v>
      </c>
    </row>
    <row r="190" spans="1:16" ht="409.6" customHeight="1" x14ac:dyDescent="0.25">
      <c r="A190" s="32">
        <v>188</v>
      </c>
      <c r="B190" s="32" t="s">
        <v>1413</v>
      </c>
      <c r="C190" s="32"/>
      <c r="D190" s="32" t="s">
        <v>1414</v>
      </c>
      <c r="E190" s="32" t="s">
        <v>1415</v>
      </c>
      <c r="F190" s="32" t="s">
        <v>1416</v>
      </c>
      <c r="G190" s="32" t="s">
        <v>1417</v>
      </c>
      <c r="H190" s="32" t="s">
        <v>1418</v>
      </c>
      <c r="I190" s="32">
        <v>2</v>
      </c>
      <c r="J190" s="32" t="s">
        <v>1419</v>
      </c>
      <c r="K190" s="32"/>
      <c r="L190" s="32" t="s">
        <v>190</v>
      </c>
      <c r="M190" s="32" t="s">
        <v>29</v>
      </c>
      <c r="N190" s="32" t="s">
        <v>1420</v>
      </c>
      <c r="O190" s="32" t="s">
        <v>816</v>
      </c>
      <c r="P190" s="32" t="s">
        <v>1055</v>
      </c>
    </row>
    <row r="191" spans="1:16" ht="409.6" customHeight="1" x14ac:dyDescent="0.25">
      <c r="A191" s="32">
        <v>189</v>
      </c>
      <c r="B191" s="32" t="s">
        <v>1421</v>
      </c>
      <c r="C191" s="32"/>
      <c r="D191" s="32" t="s">
        <v>1422</v>
      </c>
      <c r="E191" s="32" t="s">
        <v>1423</v>
      </c>
      <c r="F191" s="32" t="s">
        <v>1424</v>
      </c>
      <c r="G191" s="32" t="s">
        <v>1425</v>
      </c>
      <c r="H191" s="32" t="s">
        <v>1426</v>
      </c>
      <c r="I191" s="32">
        <v>3</v>
      </c>
      <c r="J191" s="32" t="s">
        <v>1427</v>
      </c>
      <c r="K191" s="32"/>
      <c r="L191" s="32" t="s">
        <v>190</v>
      </c>
      <c r="M191" s="32" t="s">
        <v>29</v>
      </c>
      <c r="N191" s="32" t="s">
        <v>1428</v>
      </c>
      <c r="O191" s="32" t="s">
        <v>816</v>
      </c>
      <c r="P191" s="32" t="s">
        <v>1055</v>
      </c>
    </row>
    <row r="192" spans="1:16" ht="409.6" customHeight="1" x14ac:dyDescent="0.25">
      <c r="A192" s="32">
        <v>190</v>
      </c>
      <c r="B192" s="32" t="s">
        <v>1429</v>
      </c>
      <c r="C192" s="32"/>
      <c r="D192" s="32" t="s">
        <v>1430</v>
      </c>
      <c r="E192" s="32" t="s">
        <v>1431</v>
      </c>
      <c r="F192" s="32" t="s">
        <v>1432</v>
      </c>
      <c r="G192" s="32" t="s">
        <v>1433</v>
      </c>
      <c r="H192" s="32" t="s">
        <v>1434</v>
      </c>
      <c r="I192" s="32">
        <v>2</v>
      </c>
      <c r="J192" s="32" t="s">
        <v>1435</v>
      </c>
      <c r="K192" s="32"/>
      <c r="L192" s="32" t="s">
        <v>190</v>
      </c>
      <c r="M192" s="32" t="s">
        <v>29</v>
      </c>
      <c r="N192" s="32" t="s">
        <v>1436</v>
      </c>
      <c r="O192" s="32" t="s">
        <v>816</v>
      </c>
      <c r="P192" s="32" t="s">
        <v>1055</v>
      </c>
    </row>
    <row r="193" spans="1:16" ht="409.6" customHeight="1" x14ac:dyDescent="0.25">
      <c r="A193" s="32">
        <v>191</v>
      </c>
      <c r="B193" s="32" t="s">
        <v>1437</v>
      </c>
      <c r="C193" s="32"/>
      <c r="D193" s="32" t="s">
        <v>1438</v>
      </c>
      <c r="E193" s="32" t="s">
        <v>1439</v>
      </c>
      <c r="F193" s="32" t="s">
        <v>1440</v>
      </c>
      <c r="G193" s="32" t="s">
        <v>1441</v>
      </c>
      <c r="H193" s="32" t="s">
        <v>1442</v>
      </c>
      <c r="I193" s="32">
        <v>2</v>
      </c>
      <c r="J193" s="32" t="s">
        <v>1443</v>
      </c>
      <c r="K193" s="32"/>
      <c r="L193" s="32" t="s">
        <v>190</v>
      </c>
      <c r="M193" s="32" t="s">
        <v>29</v>
      </c>
      <c r="N193" s="32" t="s">
        <v>1444</v>
      </c>
      <c r="O193" s="32" t="s">
        <v>816</v>
      </c>
      <c r="P193" s="32" t="s">
        <v>1055</v>
      </c>
    </row>
    <row r="194" spans="1:16" ht="409.6" customHeight="1" x14ac:dyDescent="0.25">
      <c r="A194" s="32">
        <v>192</v>
      </c>
      <c r="B194" s="32" t="s">
        <v>1445</v>
      </c>
      <c r="C194" s="32"/>
      <c r="D194" s="32" t="s">
        <v>1446</v>
      </c>
      <c r="E194" s="32" t="s">
        <v>1447</v>
      </c>
      <c r="F194" s="32" t="s">
        <v>1448</v>
      </c>
      <c r="G194" s="32" t="s">
        <v>1449</v>
      </c>
      <c r="H194" s="32" t="s">
        <v>1450</v>
      </c>
      <c r="I194" s="32">
        <v>1</v>
      </c>
      <c r="J194" s="32" t="s">
        <v>1451</v>
      </c>
      <c r="K194" s="32"/>
      <c r="L194" s="32" t="s">
        <v>190</v>
      </c>
      <c r="M194" s="32" t="s">
        <v>29</v>
      </c>
      <c r="N194" s="32" t="s">
        <v>1452</v>
      </c>
      <c r="O194" s="32" t="s">
        <v>816</v>
      </c>
      <c r="P194" s="32" t="s">
        <v>1055</v>
      </c>
    </row>
    <row r="195" spans="1:16" ht="409.6" customHeight="1" x14ac:dyDescent="0.25">
      <c r="A195" s="32">
        <v>193</v>
      </c>
      <c r="B195" s="32" t="s">
        <v>1453</v>
      </c>
      <c r="C195" s="32"/>
      <c r="D195" s="32" t="s">
        <v>1454</v>
      </c>
      <c r="E195" s="32" t="s">
        <v>1455</v>
      </c>
      <c r="F195" s="32" t="s">
        <v>1456</v>
      </c>
      <c r="G195" s="32" t="s">
        <v>1457</v>
      </c>
      <c r="H195" s="32" t="s">
        <v>1458</v>
      </c>
      <c r="I195" s="32">
        <v>2</v>
      </c>
      <c r="J195" s="32" t="s">
        <v>1459</v>
      </c>
      <c r="K195" s="32"/>
      <c r="L195" s="32" t="s">
        <v>190</v>
      </c>
      <c r="M195" s="32" t="s">
        <v>29</v>
      </c>
      <c r="N195" s="32" t="s">
        <v>1460</v>
      </c>
      <c r="O195" s="32" t="s">
        <v>816</v>
      </c>
      <c r="P195" s="32" t="s">
        <v>1055</v>
      </c>
    </row>
    <row r="196" spans="1:16" ht="409.6" customHeight="1" x14ac:dyDescent="0.25">
      <c r="A196" s="32">
        <v>194</v>
      </c>
      <c r="B196" s="32" t="s">
        <v>1461</v>
      </c>
      <c r="C196" s="32"/>
      <c r="D196" s="32" t="s">
        <v>1462</v>
      </c>
      <c r="E196" s="32" t="s">
        <v>1463</v>
      </c>
      <c r="F196" s="32" t="s">
        <v>1464</v>
      </c>
      <c r="G196" s="32" t="s">
        <v>1465</v>
      </c>
      <c r="H196" s="32" t="s">
        <v>1466</v>
      </c>
      <c r="I196" s="32">
        <v>3</v>
      </c>
      <c r="J196" s="32" t="s">
        <v>1467</v>
      </c>
      <c r="K196" s="32"/>
      <c r="L196" s="32" t="s">
        <v>190</v>
      </c>
      <c r="M196" s="32" t="s">
        <v>29</v>
      </c>
      <c r="N196" s="32" t="s">
        <v>1468</v>
      </c>
      <c r="O196" s="32" t="s">
        <v>816</v>
      </c>
      <c r="P196" s="32" t="s">
        <v>1055</v>
      </c>
    </row>
    <row r="197" spans="1:16" ht="409.6" customHeight="1" x14ac:dyDescent="0.25">
      <c r="A197" s="32">
        <v>195</v>
      </c>
      <c r="B197" s="32" t="s">
        <v>1469</v>
      </c>
      <c r="C197" s="32"/>
      <c r="D197" s="32" t="s">
        <v>1470</v>
      </c>
      <c r="E197" s="32" t="s">
        <v>1471</v>
      </c>
      <c r="F197" s="32" t="s">
        <v>1472</v>
      </c>
      <c r="G197" s="32" t="s">
        <v>1473</v>
      </c>
      <c r="H197" s="32" t="s">
        <v>1474</v>
      </c>
      <c r="I197" s="32">
        <v>2</v>
      </c>
      <c r="J197" s="32" t="s">
        <v>1475</v>
      </c>
      <c r="K197" s="32"/>
      <c r="L197" s="32" t="s">
        <v>190</v>
      </c>
      <c r="M197" s="32" t="s">
        <v>29</v>
      </c>
      <c r="N197" s="32" t="s">
        <v>1476</v>
      </c>
      <c r="O197" s="32" t="s">
        <v>816</v>
      </c>
      <c r="P197" s="32" t="s">
        <v>1055</v>
      </c>
    </row>
    <row r="198" spans="1:16" ht="409.6" customHeight="1" x14ac:dyDescent="0.25">
      <c r="A198" s="32">
        <v>196</v>
      </c>
      <c r="B198" s="32" t="s">
        <v>1477</v>
      </c>
      <c r="C198" s="32"/>
      <c r="D198" s="32" t="s">
        <v>376</v>
      </c>
      <c r="E198" s="32" t="s">
        <v>527</v>
      </c>
      <c r="F198" s="32" t="s">
        <v>1478</v>
      </c>
      <c r="G198" s="32" t="s">
        <v>990</v>
      </c>
      <c r="H198" s="32" t="s">
        <v>378</v>
      </c>
      <c r="I198" s="32">
        <v>2</v>
      </c>
      <c r="J198" s="32" t="s">
        <v>1479</v>
      </c>
      <c r="K198" s="32"/>
      <c r="L198" s="32" t="s">
        <v>190</v>
      </c>
      <c r="M198" s="32" t="s">
        <v>29</v>
      </c>
      <c r="N198" s="32" t="s">
        <v>1480</v>
      </c>
      <c r="O198" s="32" t="s">
        <v>816</v>
      </c>
      <c r="P198" s="32" t="s">
        <v>1055</v>
      </c>
    </row>
    <row r="199" spans="1:16" ht="409.6" customHeight="1" x14ac:dyDescent="0.25">
      <c r="A199" s="32">
        <v>197</v>
      </c>
      <c r="B199" s="32" t="s">
        <v>1481</v>
      </c>
      <c r="C199" s="32"/>
      <c r="D199" s="32" t="s">
        <v>1482</v>
      </c>
      <c r="E199" s="32" t="s">
        <v>1440</v>
      </c>
      <c r="F199" s="32" t="s">
        <v>1483</v>
      </c>
      <c r="G199" s="32" t="s">
        <v>1484</v>
      </c>
      <c r="H199" s="32" t="s">
        <v>1485</v>
      </c>
      <c r="I199" s="32">
        <v>1</v>
      </c>
      <c r="J199" s="32" t="s">
        <v>1486</v>
      </c>
      <c r="K199" s="32"/>
      <c r="L199" s="32" t="s">
        <v>190</v>
      </c>
      <c r="M199" s="32" t="s">
        <v>29</v>
      </c>
      <c r="N199" s="32" t="s">
        <v>1487</v>
      </c>
      <c r="O199" s="32" t="s">
        <v>816</v>
      </c>
      <c r="P199" s="32" t="s">
        <v>1055</v>
      </c>
    </row>
    <row r="200" spans="1:16" ht="409.6" customHeight="1" x14ac:dyDescent="0.25">
      <c r="A200" s="32">
        <v>198</v>
      </c>
      <c r="B200" s="32" t="s">
        <v>1488</v>
      </c>
      <c r="C200" s="32"/>
      <c r="D200" s="32" t="s">
        <v>1489</v>
      </c>
      <c r="E200" s="32" t="s">
        <v>362</v>
      </c>
      <c r="F200" s="32" t="s">
        <v>1490</v>
      </c>
      <c r="G200" s="32" t="s">
        <v>161</v>
      </c>
      <c r="H200" s="32" t="s">
        <v>1491</v>
      </c>
      <c r="I200" s="32">
        <v>3</v>
      </c>
      <c r="J200" s="32" t="s">
        <v>1492</v>
      </c>
      <c r="K200" s="32"/>
      <c r="L200" s="32" t="s">
        <v>190</v>
      </c>
      <c r="M200" s="32" t="s">
        <v>29</v>
      </c>
      <c r="N200" s="32" t="s">
        <v>1493</v>
      </c>
      <c r="O200" s="32" t="s">
        <v>816</v>
      </c>
      <c r="P200" s="32" t="s">
        <v>1055</v>
      </c>
    </row>
    <row r="201" spans="1:16" ht="409.6" customHeight="1" x14ac:dyDescent="0.25">
      <c r="A201" s="32">
        <v>199</v>
      </c>
      <c r="B201" s="32" t="s">
        <v>1494</v>
      </c>
      <c r="C201" s="32"/>
      <c r="D201" s="32" t="s">
        <v>1495</v>
      </c>
      <c r="E201" s="32" t="s">
        <v>1496</v>
      </c>
      <c r="F201" s="32" t="s">
        <v>1497</v>
      </c>
      <c r="G201" s="32" t="s">
        <v>1498</v>
      </c>
      <c r="H201" s="32" t="s">
        <v>1499</v>
      </c>
      <c r="I201" s="32">
        <v>5</v>
      </c>
      <c r="J201" s="32" t="s">
        <v>1500</v>
      </c>
      <c r="K201" s="32"/>
      <c r="L201" s="32" t="s">
        <v>190</v>
      </c>
      <c r="M201" s="32" t="s">
        <v>29</v>
      </c>
      <c r="N201" s="32" t="s">
        <v>1501</v>
      </c>
      <c r="O201" s="32" t="s">
        <v>816</v>
      </c>
      <c r="P201" s="32" t="s">
        <v>1055</v>
      </c>
    </row>
    <row r="202" spans="1:16" ht="409.6" customHeight="1" x14ac:dyDescent="0.25">
      <c r="A202" s="32">
        <v>200</v>
      </c>
      <c r="B202" s="32" t="s">
        <v>1502</v>
      </c>
      <c r="C202" s="32"/>
      <c r="D202" s="32" t="s">
        <v>1470</v>
      </c>
      <c r="E202" s="32" t="s">
        <v>1474</v>
      </c>
      <c r="F202" s="32" t="s">
        <v>1503</v>
      </c>
      <c r="G202" s="32" t="s">
        <v>1504</v>
      </c>
      <c r="H202" s="32" t="s">
        <v>1505</v>
      </c>
      <c r="I202" s="32">
        <v>4</v>
      </c>
      <c r="J202" s="32" t="s">
        <v>1506</v>
      </c>
      <c r="K202" s="32"/>
      <c r="L202" s="32" t="s">
        <v>190</v>
      </c>
      <c r="M202" s="32" t="s">
        <v>29</v>
      </c>
      <c r="N202" s="32" t="s">
        <v>1507</v>
      </c>
      <c r="O202" s="32" t="s">
        <v>816</v>
      </c>
      <c r="P202" s="32" t="s">
        <v>1055</v>
      </c>
    </row>
    <row r="203" spans="1:16" ht="409.6" customHeight="1" x14ac:dyDescent="0.25">
      <c r="A203" s="32">
        <v>201</v>
      </c>
      <c r="B203" s="32" t="s">
        <v>1508</v>
      </c>
      <c r="C203" s="32"/>
      <c r="D203" s="32" t="s">
        <v>1509</v>
      </c>
      <c r="E203" s="32" t="s">
        <v>1510</v>
      </c>
      <c r="F203" s="32" t="s">
        <v>1511</v>
      </c>
      <c r="G203" s="32" t="s">
        <v>1512</v>
      </c>
      <c r="H203" s="32" t="s">
        <v>1513</v>
      </c>
      <c r="I203" s="32">
        <v>2</v>
      </c>
      <c r="J203" s="32" t="s">
        <v>1514</v>
      </c>
      <c r="K203" s="32"/>
      <c r="L203" s="32" t="s">
        <v>453</v>
      </c>
      <c r="M203" s="32" t="s">
        <v>29</v>
      </c>
      <c r="N203" s="32" t="s">
        <v>1515</v>
      </c>
      <c r="O203" s="32" t="s">
        <v>816</v>
      </c>
      <c r="P203" s="32" t="s">
        <v>1055</v>
      </c>
    </row>
    <row r="204" spans="1:16" ht="409.6" customHeight="1" x14ac:dyDescent="0.25">
      <c r="A204" s="32">
        <v>202</v>
      </c>
      <c r="B204" s="32" t="s">
        <v>1516</v>
      </c>
      <c r="C204" s="32"/>
      <c r="D204" s="32" t="s">
        <v>1517</v>
      </c>
      <c r="E204" s="32" t="s">
        <v>1518</v>
      </c>
      <c r="F204" s="32" t="s">
        <v>1519</v>
      </c>
      <c r="G204" s="32" t="s">
        <v>1520</v>
      </c>
      <c r="H204" s="32" t="s">
        <v>1521</v>
      </c>
      <c r="I204" s="32">
        <v>1</v>
      </c>
      <c r="J204" s="32" t="s">
        <v>1522</v>
      </c>
      <c r="K204" s="32"/>
      <c r="L204" s="32" t="s">
        <v>453</v>
      </c>
      <c r="M204" s="32" t="s">
        <v>29</v>
      </c>
      <c r="N204" s="32" t="s">
        <v>1523</v>
      </c>
      <c r="O204" s="32" t="s">
        <v>816</v>
      </c>
      <c r="P204" s="32" t="s">
        <v>1055</v>
      </c>
    </row>
    <row r="205" spans="1:16" ht="409.6" customHeight="1" x14ac:dyDescent="0.25">
      <c r="A205" s="32">
        <v>203</v>
      </c>
      <c r="B205" s="32" t="s">
        <v>1524</v>
      </c>
      <c r="C205" s="32"/>
      <c r="D205" s="32" t="s">
        <v>905</v>
      </c>
      <c r="E205" s="32" t="s">
        <v>1525</v>
      </c>
      <c r="F205" s="32" t="s">
        <v>1470</v>
      </c>
      <c r="G205" s="32" t="s">
        <v>1526</v>
      </c>
      <c r="H205" s="32" t="s">
        <v>1527</v>
      </c>
      <c r="I205" s="32">
        <v>2</v>
      </c>
      <c r="J205" s="32" t="s">
        <v>1528</v>
      </c>
      <c r="K205" s="32"/>
      <c r="L205" s="32" t="s">
        <v>453</v>
      </c>
      <c r="M205" s="32" t="s">
        <v>29</v>
      </c>
      <c r="N205" s="32" t="s">
        <v>1529</v>
      </c>
      <c r="O205" s="32" t="s">
        <v>816</v>
      </c>
      <c r="P205" s="32" t="s">
        <v>1055</v>
      </c>
    </row>
    <row r="206" spans="1:16" ht="409.6" customHeight="1" x14ac:dyDescent="0.25">
      <c r="A206" s="32">
        <v>204</v>
      </c>
      <c r="B206" s="32" t="s">
        <v>1530</v>
      </c>
      <c r="C206" s="32"/>
      <c r="D206" s="32" t="s">
        <v>1131</v>
      </c>
      <c r="E206" s="32" t="s">
        <v>1380</v>
      </c>
      <c r="F206" s="32" t="s">
        <v>1531</v>
      </c>
      <c r="G206" s="32" t="s">
        <v>1381</v>
      </c>
      <c r="H206" s="32" t="s">
        <v>1532</v>
      </c>
      <c r="I206" s="32">
        <v>3</v>
      </c>
      <c r="J206" s="32" t="s">
        <v>1533</v>
      </c>
      <c r="K206" s="32"/>
      <c r="L206" s="32" t="s">
        <v>453</v>
      </c>
      <c r="M206" s="32" t="s">
        <v>29</v>
      </c>
      <c r="N206" s="32" t="s">
        <v>1534</v>
      </c>
      <c r="O206" s="32" t="s">
        <v>816</v>
      </c>
      <c r="P206" s="32" t="s">
        <v>1055</v>
      </c>
    </row>
    <row r="207" spans="1:16" ht="409.6" customHeight="1" x14ac:dyDescent="0.25">
      <c r="A207" s="32">
        <v>205</v>
      </c>
      <c r="B207" s="32" t="s">
        <v>1535</v>
      </c>
      <c r="C207" s="32"/>
      <c r="D207" s="32" t="s">
        <v>1536</v>
      </c>
      <c r="E207" s="32" t="s">
        <v>1537</v>
      </c>
      <c r="F207" s="32" t="s">
        <v>1538</v>
      </c>
      <c r="G207" s="32" t="s">
        <v>1539</v>
      </c>
      <c r="H207" s="32" t="s">
        <v>1540</v>
      </c>
      <c r="I207" s="32">
        <v>3</v>
      </c>
      <c r="J207" s="32" t="s">
        <v>1541</v>
      </c>
      <c r="K207" s="32"/>
      <c r="L207" s="32" t="s">
        <v>453</v>
      </c>
      <c r="M207" s="32" t="s">
        <v>29</v>
      </c>
      <c r="N207" s="32" t="s">
        <v>1542</v>
      </c>
      <c r="O207" s="32" t="s">
        <v>816</v>
      </c>
      <c r="P207" s="32" t="s">
        <v>1055</v>
      </c>
    </row>
    <row r="208" spans="1:16" ht="409.6" customHeight="1" x14ac:dyDescent="0.25">
      <c r="A208" s="32">
        <v>206</v>
      </c>
      <c r="B208" s="32" t="s">
        <v>1543</v>
      </c>
      <c r="C208" s="32"/>
      <c r="D208" s="32" t="s">
        <v>1251</v>
      </c>
      <c r="E208" s="32" t="s">
        <v>1252</v>
      </c>
      <c r="F208" s="32" t="s">
        <v>1544</v>
      </c>
      <c r="G208" s="32" t="s">
        <v>1545</v>
      </c>
      <c r="H208" s="32" t="s">
        <v>1546</v>
      </c>
      <c r="I208" s="32">
        <v>3</v>
      </c>
      <c r="J208" s="32" t="s">
        <v>1547</v>
      </c>
      <c r="K208" s="32"/>
      <c r="L208" s="32" t="s">
        <v>453</v>
      </c>
      <c r="M208" s="32" t="s">
        <v>29</v>
      </c>
      <c r="N208" s="32" t="s">
        <v>1548</v>
      </c>
      <c r="O208" s="32" t="s">
        <v>816</v>
      </c>
      <c r="P208" s="32" t="s">
        <v>1055</v>
      </c>
    </row>
    <row r="209" spans="1:16" ht="409.6" customHeight="1" x14ac:dyDescent="0.25">
      <c r="A209" s="32">
        <v>207</v>
      </c>
      <c r="B209" s="32" t="s">
        <v>1549</v>
      </c>
      <c r="C209" s="32"/>
      <c r="D209" s="32" t="s">
        <v>1550</v>
      </c>
      <c r="E209" s="32" t="s">
        <v>1551</v>
      </c>
      <c r="F209" s="32" t="s">
        <v>1552</v>
      </c>
      <c r="G209" s="32" t="s">
        <v>1553</v>
      </c>
      <c r="H209" s="32" t="s">
        <v>1554</v>
      </c>
      <c r="I209" s="32">
        <v>3</v>
      </c>
      <c r="J209" s="32" t="s">
        <v>1555</v>
      </c>
      <c r="K209" s="32"/>
      <c r="L209" s="32" t="s">
        <v>453</v>
      </c>
      <c r="M209" s="32" t="s">
        <v>29</v>
      </c>
      <c r="N209" s="32" t="s">
        <v>1556</v>
      </c>
      <c r="O209" s="32" t="s">
        <v>816</v>
      </c>
      <c r="P209" s="32" t="s">
        <v>1055</v>
      </c>
    </row>
    <row r="210" spans="1:16" ht="409.6" customHeight="1" x14ac:dyDescent="0.25">
      <c r="A210" s="32">
        <v>208</v>
      </c>
      <c r="B210" s="32" t="s">
        <v>1557</v>
      </c>
      <c r="C210" s="32"/>
      <c r="D210" s="32" t="s">
        <v>1558</v>
      </c>
      <c r="E210" s="32" t="s">
        <v>1559</v>
      </c>
      <c r="F210" s="32" t="s">
        <v>1560</v>
      </c>
      <c r="G210" s="32" t="s">
        <v>1561</v>
      </c>
      <c r="H210" s="32" t="s">
        <v>1562</v>
      </c>
      <c r="I210" s="32">
        <v>1</v>
      </c>
      <c r="J210" s="32" t="s">
        <v>1563</v>
      </c>
      <c r="K210" s="32"/>
      <c r="L210" s="32" t="s">
        <v>453</v>
      </c>
      <c r="M210" s="32" t="s">
        <v>29</v>
      </c>
      <c r="N210" s="32" t="s">
        <v>1564</v>
      </c>
      <c r="O210" s="32" t="s">
        <v>816</v>
      </c>
      <c r="P210" s="32" t="s">
        <v>1055</v>
      </c>
    </row>
    <row r="211" spans="1:16" ht="409.6" customHeight="1" x14ac:dyDescent="0.25">
      <c r="A211" s="32">
        <v>209</v>
      </c>
      <c r="B211" s="32" t="s">
        <v>1565</v>
      </c>
      <c r="C211" s="32"/>
      <c r="D211" s="32" t="s">
        <v>1566</v>
      </c>
      <c r="E211" s="32" t="s">
        <v>1567</v>
      </c>
      <c r="F211" s="32" t="s">
        <v>1568</v>
      </c>
      <c r="G211" s="32" t="s">
        <v>1474</v>
      </c>
      <c r="H211" s="32" t="s">
        <v>1503</v>
      </c>
      <c r="I211" s="32">
        <v>2</v>
      </c>
      <c r="J211" s="32" t="s">
        <v>1569</v>
      </c>
      <c r="K211" s="32"/>
      <c r="L211" s="32" t="s">
        <v>453</v>
      </c>
      <c r="M211" s="32" t="s">
        <v>29</v>
      </c>
      <c r="N211" s="32" t="s">
        <v>1570</v>
      </c>
      <c r="O211" s="32" t="s">
        <v>816</v>
      </c>
      <c r="P211" s="32" t="s">
        <v>1055</v>
      </c>
    </row>
    <row r="212" spans="1:16" ht="409.6" customHeight="1" x14ac:dyDescent="0.25">
      <c r="A212" s="32">
        <v>210</v>
      </c>
      <c r="B212" s="32" t="s">
        <v>1571</v>
      </c>
      <c r="C212" s="32"/>
      <c r="D212" s="32" t="s">
        <v>1572</v>
      </c>
      <c r="E212" s="32" t="s">
        <v>1573</v>
      </c>
      <c r="F212" s="32" t="s">
        <v>1574</v>
      </c>
      <c r="G212" s="32" t="s">
        <v>1575</v>
      </c>
      <c r="H212" s="32" t="s">
        <v>1576</v>
      </c>
      <c r="I212" s="32">
        <v>3</v>
      </c>
      <c r="J212" s="32" t="s">
        <v>1577</v>
      </c>
      <c r="K212" s="32"/>
      <c r="L212" s="32" t="s">
        <v>453</v>
      </c>
      <c r="M212" s="32" t="s">
        <v>29</v>
      </c>
      <c r="N212" s="32" t="s">
        <v>1578</v>
      </c>
      <c r="O212" s="32" t="s">
        <v>816</v>
      </c>
      <c r="P212" s="32" t="s">
        <v>1055</v>
      </c>
    </row>
    <row r="213" spans="1:16" ht="409.6" customHeight="1" x14ac:dyDescent="0.25">
      <c r="A213" s="32">
        <v>211</v>
      </c>
      <c r="B213" s="32" t="s">
        <v>1579</v>
      </c>
      <c r="C213" s="32"/>
      <c r="D213" s="32" t="s">
        <v>189</v>
      </c>
      <c r="E213" s="32" t="s">
        <v>1580</v>
      </c>
      <c r="F213" s="32" t="s">
        <v>1581</v>
      </c>
      <c r="G213" s="32" t="s">
        <v>1582</v>
      </c>
      <c r="H213" s="32"/>
      <c r="I213" s="32">
        <v>2</v>
      </c>
      <c r="J213" s="32" t="s">
        <v>1583</v>
      </c>
      <c r="K213" s="32"/>
      <c r="L213" s="32" t="s">
        <v>453</v>
      </c>
      <c r="M213" s="32" t="s">
        <v>29</v>
      </c>
      <c r="N213" s="32" t="s">
        <v>1584</v>
      </c>
      <c r="O213" s="32" t="s">
        <v>816</v>
      </c>
      <c r="P213" s="32" t="s">
        <v>1055</v>
      </c>
    </row>
    <row r="214" spans="1:16" ht="409.6" customHeight="1" x14ac:dyDescent="0.25">
      <c r="A214" s="32">
        <v>212</v>
      </c>
      <c r="B214" s="32" t="s">
        <v>1585</v>
      </c>
      <c r="C214" s="32"/>
      <c r="D214" s="32" t="s">
        <v>1586</v>
      </c>
      <c r="E214" s="32" t="s">
        <v>1587</v>
      </c>
      <c r="F214" s="32" t="s">
        <v>1588</v>
      </c>
      <c r="G214" s="32" t="s">
        <v>1589</v>
      </c>
      <c r="H214" s="32" t="s">
        <v>1521</v>
      </c>
      <c r="I214" s="32">
        <v>2</v>
      </c>
      <c r="J214" s="32" t="s">
        <v>1590</v>
      </c>
      <c r="K214" s="32"/>
      <c r="L214" s="32" t="s">
        <v>453</v>
      </c>
      <c r="M214" s="32" t="s">
        <v>29</v>
      </c>
      <c r="N214" s="32" t="s">
        <v>1591</v>
      </c>
      <c r="O214" s="32" t="s">
        <v>816</v>
      </c>
      <c r="P214" s="32" t="s">
        <v>1055</v>
      </c>
    </row>
    <row r="215" spans="1:16" ht="409.6" customHeight="1" x14ac:dyDescent="0.25">
      <c r="A215" s="32">
        <v>213</v>
      </c>
      <c r="B215" s="32" t="s">
        <v>1592</v>
      </c>
      <c r="C215" s="32"/>
      <c r="D215" s="32" t="s">
        <v>1593</v>
      </c>
      <c r="E215" s="32" t="s">
        <v>1594</v>
      </c>
      <c r="F215" s="32" t="s">
        <v>1595</v>
      </c>
      <c r="G215" s="32" t="s">
        <v>1596</v>
      </c>
      <c r="H215" s="32" t="s">
        <v>1597</v>
      </c>
      <c r="I215" s="32">
        <v>1</v>
      </c>
      <c r="J215" s="32" t="s">
        <v>1598</v>
      </c>
      <c r="K215" s="32"/>
      <c r="L215" s="32" t="s">
        <v>453</v>
      </c>
      <c r="M215" s="32" t="s">
        <v>29</v>
      </c>
      <c r="N215" s="32" t="s">
        <v>1599</v>
      </c>
      <c r="O215" s="32" t="s">
        <v>816</v>
      </c>
      <c r="P215" s="32" t="s">
        <v>1055</v>
      </c>
    </row>
    <row r="216" spans="1:16" ht="409.6" customHeight="1" x14ac:dyDescent="0.25">
      <c r="A216" s="32">
        <v>214</v>
      </c>
      <c r="B216" s="32" t="s">
        <v>1600</v>
      </c>
      <c r="C216" s="32"/>
      <c r="D216" s="32" t="s">
        <v>1601</v>
      </c>
      <c r="E216" s="32" t="s">
        <v>1602</v>
      </c>
      <c r="F216" s="32" t="s">
        <v>1603</v>
      </c>
      <c r="G216" s="32" t="s">
        <v>1604</v>
      </c>
      <c r="H216" s="32" t="s">
        <v>1605</v>
      </c>
      <c r="I216" s="32">
        <v>2</v>
      </c>
      <c r="J216" s="32" t="s">
        <v>1606</v>
      </c>
      <c r="K216" s="32"/>
      <c r="L216" s="32" t="s">
        <v>453</v>
      </c>
      <c r="M216" s="32" t="s">
        <v>29</v>
      </c>
      <c r="N216" s="32" t="s">
        <v>1607</v>
      </c>
      <c r="O216" s="32" t="s">
        <v>816</v>
      </c>
      <c r="P216" s="32" t="s">
        <v>1055</v>
      </c>
    </row>
    <row r="217" spans="1:16" ht="409.6" customHeight="1" x14ac:dyDescent="0.25">
      <c r="A217" s="32">
        <v>215</v>
      </c>
      <c r="B217" s="32" t="s">
        <v>1608</v>
      </c>
      <c r="C217" s="32"/>
      <c r="D217" s="32" t="s">
        <v>1379</v>
      </c>
      <c r="E217" s="32" t="s">
        <v>1380</v>
      </c>
      <c r="F217" s="32" t="s">
        <v>1609</v>
      </c>
      <c r="G217" s="32" t="s">
        <v>1381</v>
      </c>
      <c r="H217" s="32" t="s">
        <v>1610</v>
      </c>
      <c r="I217" s="32">
        <v>3</v>
      </c>
      <c r="J217" s="32" t="s">
        <v>1611</v>
      </c>
      <c r="K217" s="32"/>
      <c r="L217" s="32" t="s">
        <v>453</v>
      </c>
      <c r="M217" s="32" t="s">
        <v>29</v>
      </c>
      <c r="N217" s="32" t="s">
        <v>1612</v>
      </c>
      <c r="O217" s="32" t="s">
        <v>816</v>
      </c>
      <c r="P217" s="32" t="s">
        <v>1055</v>
      </c>
    </row>
    <row r="218" spans="1:16" ht="409.6" customHeight="1" x14ac:dyDescent="0.25">
      <c r="A218" s="32">
        <v>216</v>
      </c>
      <c r="B218" s="32" t="s">
        <v>1613</v>
      </c>
      <c r="C218" s="32"/>
      <c r="D218" s="32" t="s">
        <v>1614</v>
      </c>
      <c r="E218" s="32" t="s">
        <v>1615</v>
      </c>
      <c r="F218" s="32" t="s">
        <v>1616</v>
      </c>
      <c r="G218" s="32" t="s">
        <v>1617</v>
      </c>
      <c r="H218" s="32" t="s">
        <v>1618</v>
      </c>
      <c r="I218" s="32">
        <v>4</v>
      </c>
      <c r="J218" s="32" t="s">
        <v>1619</v>
      </c>
      <c r="K218" s="32"/>
      <c r="L218" s="32" t="s">
        <v>453</v>
      </c>
      <c r="M218" s="32" t="s">
        <v>29</v>
      </c>
      <c r="N218" s="32" t="s">
        <v>1620</v>
      </c>
      <c r="O218" s="32" t="s">
        <v>816</v>
      </c>
      <c r="P218" s="32" t="s">
        <v>1055</v>
      </c>
    </row>
    <row r="219" spans="1:16" ht="409.6" customHeight="1" x14ac:dyDescent="0.25">
      <c r="A219" s="32">
        <v>217</v>
      </c>
      <c r="B219" s="32" t="s">
        <v>1621</v>
      </c>
      <c r="C219" s="32"/>
      <c r="D219" s="32" t="s">
        <v>1622</v>
      </c>
      <c r="E219" s="32" t="s">
        <v>1169</v>
      </c>
      <c r="F219" s="32" t="s">
        <v>1623</v>
      </c>
      <c r="G219" s="32" t="s">
        <v>1624</v>
      </c>
      <c r="H219" s="32" t="s">
        <v>276</v>
      </c>
      <c r="I219" s="32">
        <v>5</v>
      </c>
      <c r="J219" s="32" t="s">
        <v>1625</v>
      </c>
      <c r="K219" s="32"/>
      <c r="L219" s="32" t="s">
        <v>453</v>
      </c>
      <c r="M219" s="32" t="s">
        <v>29</v>
      </c>
      <c r="N219" s="32" t="s">
        <v>1626</v>
      </c>
      <c r="O219" s="32" t="s">
        <v>816</v>
      </c>
      <c r="P219" s="32" t="s">
        <v>1055</v>
      </c>
    </row>
    <row r="220" spans="1:16" ht="13.2" x14ac:dyDescent="0.25">
      <c r="A220">
        <v>218</v>
      </c>
      <c r="B220" t="s">
        <v>1627</v>
      </c>
      <c r="D220" t="s">
        <v>1628</v>
      </c>
      <c r="E220" t="s">
        <v>609</v>
      </c>
      <c r="F220" t="s">
        <v>157</v>
      </c>
      <c r="G220" t="s">
        <v>1629</v>
      </c>
      <c r="H220" t="s">
        <v>283</v>
      </c>
      <c r="I220" t="s">
        <v>84</v>
      </c>
      <c r="J220" t="s">
        <v>1630</v>
      </c>
      <c r="K220" t="s">
        <v>1631</v>
      </c>
      <c r="L220" t="s">
        <v>1632</v>
      </c>
      <c r="M220" t="s">
        <v>29</v>
      </c>
      <c r="N220" t="s">
        <v>1632</v>
      </c>
    </row>
    <row r="221" spans="1:16" ht="13.2" x14ac:dyDescent="0.25">
      <c r="A221">
        <v>219</v>
      </c>
      <c r="B221" t="s">
        <v>1633</v>
      </c>
      <c r="D221" t="s">
        <v>1634</v>
      </c>
      <c r="E221" t="s">
        <v>1635</v>
      </c>
      <c r="F221" t="s">
        <v>1636</v>
      </c>
      <c r="G221" t="s">
        <v>1637</v>
      </c>
      <c r="H221" t="s">
        <v>1638</v>
      </c>
      <c r="I221">
        <v>5</v>
      </c>
      <c r="J221" t="s">
        <v>1639</v>
      </c>
      <c r="L221" t="s">
        <v>1640</v>
      </c>
      <c r="M221" t="s">
        <v>29</v>
      </c>
      <c r="N221" t="s">
        <v>1641</v>
      </c>
    </row>
    <row r="222" spans="1:16" ht="13.2" x14ac:dyDescent="0.25">
      <c r="A222">
        <v>220</v>
      </c>
      <c r="B222" t="s">
        <v>1642</v>
      </c>
      <c r="D222" t="s">
        <v>157</v>
      </c>
      <c r="E222" t="s">
        <v>560</v>
      </c>
      <c r="F222" t="s">
        <v>275</v>
      </c>
      <c r="G222" t="s">
        <v>559</v>
      </c>
      <c r="H222" t="s">
        <v>1643</v>
      </c>
      <c r="I222" t="s">
        <v>84</v>
      </c>
      <c r="J222" t="s">
        <v>1644</v>
      </c>
      <c r="L222" t="s">
        <v>1645</v>
      </c>
      <c r="M222" t="s">
        <v>29</v>
      </c>
      <c r="N222" t="s">
        <v>1646</v>
      </c>
    </row>
    <row r="223" spans="1:16" ht="13.2" x14ac:dyDescent="0.25">
      <c r="A223">
        <v>221</v>
      </c>
      <c r="B223" t="s">
        <v>1647</v>
      </c>
      <c r="D223" t="s">
        <v>1648</v>
      </c>
      <c r="E223" t="s">
        <v>426</v>
      </c>
      <c r="F223" t="s">
        <v>1649</v>
      </c>
      <c r="G223" t="s">
        <v>1650</v>
      </c>
      <c r="H223" t="s">
        <v>1651</v>
      </c>
      <c r="I223" t="s">
        <v>90</v>
      </c>
      <c r="J223" t="s">
        <v>1652</v>
      </c>
      <c r="L223" t="s">
        <v>1645</v>
      </c>
      <c r="M223" t="s">
        <v>29</v>
      </c>
      <c r="N223" t="s">
        <v>1653</v>
      </c>
    </row>
    <row r="224" spans="1:16" ht="13.2" x14ac:dyDescent="0.25">
      <c r="A224">
        <v>222</v>
      </c>
      <c r="B224" t="s">
        <v>1654</v>
      </c>
      <c r="D224" t="s">
        <v>1655</v>
      </c>
      <c r="E224" t="s">
        <v>1656</v>
      </c>
      <c r="F224" t="s">
        <v>1657</v>
      </c>
      <c r="G224" t="s">
        <v>1658</v>
      </c>
      <c r="H224" t="s">
        <v>1659</v>
      </c>
      <c r="I224" t="s">
        <v>84</v>
      </c>
      <c r="J224" t="s">
        <v>1660</v>
      </c>
      <c r="L224" t="s">
        <v>1645</v>
      </c>
      <c r="M224" t="s">
        <v>29</v>
      </c>
      <c r="N224" t="s">
        <v>1661</v>
      </c>
    </row>
    <row r="225" spans="1:14" ht="13.2" x14ac:dyDescent="0.25">
      <c r="A225">
        <v>223</v>
      </c>
      <c r="B225" t="s">
        <v>1662</v>
      </c>
      <c r="D225" t="s">
        <v>1663</v>
      </c>
      <c r="E225" t="s">
        <v>1664</v>
      </c>
      <c r="F225" t="s">
        <v>1665</v>
      </c>
      <c r="G225" t="s">
        <v>1666</v>
      </c>
      <c r="H225" t="s">
        <v>1667</v>
      </c>
      <c r="I225" t="s">
        <v>84</v>
      </c>
      <c r="J225" t="s">
        <v>1668</v>
      </c>
      <c r="L225" t="s">
        <v>1645</v>
      </c>
      <c r="M225" t="s">
        <v>29</v>
      </c>
      <c r="N225" t="s">
        <v>1669</v>
      </c>
    </row>
    <row r="226" spans="1:14" ht="13.2" x14ac:dyDescent="0.25">
      <c r="A226">
        <v>224</v>
      </c>
      <c r="B226" t="s">
        <v>1670</v>
      </c>
      <c r="D226" t="s">
        <v>1671</v>
      </c>
      <c r="E226" t="s">
        <v>1672</v>
      </c>
      <c r="F226" t="s">
        <v>1673</v>
      </c>
      <c r="G226" t="s">
        <v>1674</v>
      </c>
      <c r="H226" t="s">
        <v>1675</v>
      </c>
      <c r="I226" t="s">
        <v>90</v>
      </c>
      <c r="J226" t="s">
        <v>1676</v>
      </c>
      <c r="L226" t="s">
        <v>1645</v>
      </c>
      <c r="M226" t="s">
        <v>29</v>
      </c>
      <c r="N226" t="s">
        <v>1677</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Q999"/>
  <sheetViews>
    <sheetView workbookViewId="0">
      <pane ySplit="2" topLeftCell="A151" activePane="bottomLeft" state="frozen"/>
      <selection pane="bottomLeft" activeCell="A3" sqref="A3:Q150"/>
    </sheetView>
  </sheetViews>
  <sheetFormatPr defaultColWidth="12.6640625" defaultRowHeight="15.75" customHeight="1" x14ac:dyDescent="0.25"/>
  <cols>
    <col min="2" max="2" width="32" customWidth="1"/>
    <col min="6" max="6" width="12.6640625" customWidth="1"/>
    <col min="9" max="9" width="10.33203125" customWidth="1"/>
    <col min="10" max="10" width="30.6640625" customWidth="1"/>
  </cols>
  <sheetData>
    <row r="1" spans="1:16" ht="34.950000000000003" customHeight="1" x14ac:dyDescent="0.25">
      <c r="A1" s="50" t="str">
        <f>HYPERLINK("#gid=0", "🏠 กลับสู่หน้าแรก (Go to Home Page)")</f>
        <v>🏠 กลับสู่หน้าแรก (Go to Home Page)</v>
      </c>
      <c r="B1" s="49"/>
      <c r="C1" s="49"/>
      <c r="D1" s="49"/>
      <c r="E1" s="49"/>
      <c r="F1" s="49"/>
      <c r="G1" s="10"/>
      <c r="H1" s="10"/>
      <c r="I1" s="10"/>
      <c r="J1" s="10"/>
      <c r="K1" s="10"/>
      <c r="L1" s="10"/>
      <c r="M1" s="10"/>
      <c r="N1" s="10"/>
      <c r="O1" s="10"/>
      <c r="P1" s="10"/>
    </row>
    <row r="2" spans="1:16" ht="64.8" customHeight="1" x14ac:dyDescent="0.25">
      <c r="A2" s="11" t="s">
        <v>10</v>
      </c>
      <c r="B2" s="11" t="s">
        <v>11</v>
      </c>
      <c r="C2" s="11" t="s">
        <v>12</v>
      </c>
      <c r="D2" s="11" t="s">
        <v>13</v>
      </c>
      <c r="E2" s="11" t="s">
        <v>14</v>
      </c>
      <c r="F2" s="11" t="s">
        <v>15</v>
      </c>
      <c r="G2" s="11" t="s">
        <v>16</v>
      </c>
      <c r="H2" s="11" t="s">
        <v>17</v>
      </c>
      <c r="I2" s="11" t="s">
        <v>154</v>
      </c>
      <c r="J2" s="11" t="s">
        <v>19</v>
      </c>
      <c r="K2" s="11" t="s">
        <v>20</v>
      </c>
      <c r="L2" s="11" t="s">
        <v>81</v>
      </c>
      <c r="M2" s="11" t="s">
        <v>155</v>
      </c>
      <c r="N2" s="11" t="s">
        <v>23</v>
      </c>
      <c r="O2" s="10" t="s">
        <v>24</v>
      </c>
      <c r="P2" s="10" t="s">
        <v>25</v>
      </c>
    </row>
    <row r="3" spans="1:16" ht="409.6" customHeight="1" x14ac:dyDescent="0.25">
      <c r="A3" s="33">
        <v>1</v>
      </c>
      <c r="B3" s="34" t="s">
        <v>1678</v>
      </c>
      <c r="C3" s="35"/>
      <c r="D3" s="34" t="s">
        <v>1679</v>
      </c>
      <c r="E3" s="34" t="s">
        <v>1680</v>
      </c>
      <c r="F3" s="34" t="s">
        <v>1681</v>
      </c>
      <c r="G3" s="34" t="s">
        <v>1682</v>
      </c>
      <c r="H3" s="34" t="s">
        <v>1683</v>
      </c>
      <c r="I3" s="35">
        <v>3</v>
      </c>
      <c r="J3" s="34" t="s">
        <v>1684</v>
      </c>
      <c r="K3" s="35"/>
      <c r="L3" s="34" t="s">
        <v>1645</v>
      </c>
      <c r="M3" s="35" t="s">
        <v>29</v>
      </c>
      <c r="N3" s="34" t="s">
        <v>1685</v>
      </c>
      <c r="O3" s="35" t="s">
        <v>816</v>
      </c>
      <c r="P3" s="35" t="s">
        <v>669</v>
      </c>
    </row>
    <row r="4" spans="1:16" ht="409.6" customHeight="1" x14ac:dyDescent="0.25">
      <c r="A4" s="33">
        <v>2</v>
      </c>
      <c r="B4" s="34" t="s">
        <v>1686</v>
      </c>
      <c r="C4" s="35"/>
      <c r="D4" s="34" t="s">
        <v>1687</v>
      </c>
      <c r="E4" s="34" t="s">
        <v>1688</v>
      </c>
      <c r="F4" s="34" t="s">
        <v>1689</v>
      </c>
      <c r="G4" s="34" t="s">
        <v>1690</v>
      </c>
      <c r="H4" s="34" t="s">
        <v>799</v>
      </c>
      <c r="I4" s="35">
        <v>1</v>
      </c>
      <c r="J4" s="34" t="s">
        <v>1691</v>
      </c>
      <c r="K4" s="35"/>
      <c r="L4" s="34" t="s">
        <v>1645</v>
      </c>
      <c r="M4" s="35" t="s">
        <v>29</v>
      </c>
      <c r="N4" s="34" t="s">
        <v>1692</v>
      </c>
      <c r="O4" s="35" t="s">
        <v>816</v>
      </c>
      <c r="P4" s="35" t="s">
        <v>669</v>
      </c>
    </row>
    <row r="5" spans="1:16" ht="409.6" customHeight="1" x14ac:dyDescent="0.25">
      <c r="A5" s="33">
        <v>3</v>
      </c>
      <c r="B5" s="34" t="s">
        <v>1693</v>
      </c>
      <c r="C5" s="35"/>
      <c r="D5" s="34" t="s">
        <v>442</v>
      </c>
      <c r="E5" s="34" t="s">
        <v>1694</v>
      </c>
      <c r="F5" s="34" t="s">
        <v>738</v>
      </c>
      <c r="G5" s="34" t="s">
        <v>1695</v>
      </c>
      <c r="H5" s="34" t="s">
        <v>1215</v>
      </c>
      <c r="I5" s="35">
        <v>2</v>
      </c>
      <c r="J5" s="34" t="s">
        <v>1696</v>
      </c>
      <c r="K5" s="35"/>
      <c r="L5" s="34" t="s">
        <v>1645</v>
      </c>
      <c r="M5" s="35" t="s">
        <v>29</v>
      </c>
      <c r="N5" s="34" t="s">
        <v>1697</v>
      </c>
      <c r="O5" s="35" t="s">
        <v>816</v>
      </c>
      <c r="P5" s="35" t="s">
        <v>669</v>
      </c>
    </row>
    <row r="6" spans="1:16" ht="409.6" customHeight="1" x14ac:dyDescent="0.25">
      <c r="A6" s="33">
        <v>4</v>
      </c>
      <c r="B6" s="34" t="s">
        <v>1698</v>
      </c>
      <c r="C6" s="35"/>
      <c r="D6" s="34" t="s">
        <v>1699</v>
      </c>
      <c r="E6" s="34" t="s">
        <v>1700</v>
      </c>
      <c r="F6" s="34" t="s">
        <v>1701</v>
      </c>
      <c r="G6" s="34" t="s">
        <v>1702</v>
      </c>
      <c r="H6" s="34" t="s">
        <v>1703</v>
      </c>
      <c r="I6" s="35">
        <v>5</v>
      </c>
      <c r="J6" s="34" t="s">
        <v>1704</v>
      </c>
      <c r="K6" s="35"/>
      <c r="L6" s="34" t="s">
        <v>1645</v>
      </c>
      <c r="M6" s="35" t="s">
        <v>29</v>
      </c>
      <c r="N6" s="34" t="s">
        <v>685</v>
      </c>
      <c r="O6" s="35" t="s">
        <v>816</v>
      </c>
      <c r="P6" s="35" t="s">
        <v>669</v>
      </c>
    </row>
    <row r="7" spans="1:16" ht="409.6" customHeight="1" x14ac:dyDescent="0.25">
      <c r="A7" s="33">
        <v>5</v>
      </c>
      <c r="B7" s="34" t="s">
        <v>1705</v>
      </c>
      <c r="C7" s="35"/>
      <c r="D7" s="34" t="s">
        <v>1706</v>
      </c>
      <c r="E7" s="34" t="s">
        <v>1707</v>
      </c>
      <c r="F7" s="34" t="s">
        <v>1708</v>
      </c>
      <c r="G7" s="34" t="s">
        <v>1709</v>
      </c>
      <c r="H7" s="34" t="s">
        <v>781</v>
      </c>
      <c r="I7" s="35">
        <v>1</v>
      </c>
      <c r="J7" s="34" t="s">
        <v>1710</v>
      </c>
      <c r="K7" s="35"/>
      <c r="L7" s="34" t="s">
        <v>1645</v>
      </c>
      <c r="M7" s="35" t="s">
        <v>29</v>
      </c>
      <c r="N7" s="34" t="s">
        <v>691</v>
      </c>
      <c r="O7" s="35" t="s">
        <v>816</v>
      </c>
      <c r="P7" s="35" t="s">
        <v>669</v>
      </c>
    </row>
    <row r="8" spans="1:16" ht="409.6" customHeight="1" x14ac:dyDescent="0.25">
      <c r="A8" s="33">
        <v>6</v>
      </c>
      <c r="B8" s="34" t="s">
        <v>1711</v>
      </c>
      <c r="C8" s="35"/>
      <c r="D8" s="34" t="s">
        <v>307</v>
      </c>
      <c r="E8" s="34" t="s">
        <v>1712</v>
      </c>
      <c r="F8" s="34" t="s">
        <v>1713</v>
      </c>
      <c r="G8" s="34" t="s">
        <v>1714</v>
      </c>
      <c r="H8" s="34" t="s">
        <v>1715</v>
      </c>
      <c r="I8" s="35">
        <v>5</v>
      </c>
      <c r="J8" s="34" t="s">
        <v>1716</v>
      </c>
      <c r="K8" s="35"/>
      <c r="L8" s="34" t="s">
        <v>1645</v>
      </c>
      <c r="M8" s="35" t="s">
        <v>29</v>
      </c>
      <c r="N8" s="34" t="s">
        <v>699</v>
      </c>
      <c r="O8" s="35" t="s">
        <v>816</v>
      </c>
      <c r="P8" s="35" t="s">
        <v>669</v>
      </c>
    </row>
    <row r="9" spans="1:16" ht="409.6" customHeight="1" x14ac:dyDescent="0.25">
      <c r="A9" s="33">
        <v>7</v>
      </c>
      <c r="B9" s="34" t="s">
        <v>1717</v>
      </c>
      <c r="C9" s="35"/>
      <c r="D9" s="34" t="s">
        <v>1718</v>
      </c>
      <c r="E9" s="34" t="s">
        <v>1719</v>
      </c>
      <c r="F9" s="34" t="s">
        <v>1720</v>
      </c>
      <c r="G9" s="34" t="s">
        <v>1721</v>
      </c>
      <c r="H9" s="34" t="s">
        <v>1722</v>
      </c>
      <c r="I9" s="35">
        <v>1</v>
      </c>
      <c r="J9" s="34" t="s">
        <v>1723</v>
      </c>
      <c r="K9" s="35"/>
      <c r="L9" s="34" t="s">
        <v>1645</v>
      </c>
      <c r="M9" s="35" t="s">
        <v>29</v>
      </c>
      <c r="N9" s="34" t="s">
        <v>1724</v>
      </c>
      <c r="O9" s="35" t="s">
        <v>816</v>
      </c>
      <c r="P9" s="35" t="s">
        <v>669</v>
      </c>
    </row>
    <row r="10" spans="1:16" ht="409.6" customHeight="1" x14ac:dyDescent="0.25">
      <c r="A10" s="33">
        <v>8</v>
      </c>
      <c r="B10" s="34" t="s">
        <v>1725</v>
      </c>
      <c r="C10" s="35"/>
      <c r="D10" s="34" t="s">
        <v>1726</v>
      </c>
      <c r="E10" s="34" t="s">
        <v>1727</v>
      </c>
      <c r="F10" s="34" t="s">
        <v>1728</v>
      </c>
      <c r="G10" s="34" t="s">
        <v>1729</v>
      </c>
      <c r="H10" s="34" t="s">
        <v>1730</v>
      </c>
      <c r="I10" s="35">
        <v>5</v>
      </c>
      <c r="J10" s="34" t="s">
        <v>1731</v>
      </c>
      <c r="K10" s="35"/>
      <c r="L10" s="34" t="s">
        <v>1732</v>
      </c>
      <c r="M10" s="35" t="s">
        <v>29</v>
      </c>
      <c r="N10" s="34" t="s">
        <v>1733</v>
      </c>
      <c r="O10" s="35" t="s">
        <v>816</v>
      </c>
      <c r="P10" s="35" t="s">
        <v>669</v>
      </c>
    </row>
    <row r="11" spans="1:16" ht="409.6" customHeight="1" x14ac:dyDescent="0.25">
      <c r="A11" s="33">
        <v>9</v>
      </c>
      <c r="B11" s="34" t="s">
        <v>1734</v>
      </c>
      <c r="C11" s="35"/>
      <c r="D11" s="34" t="s">
        <v>1735</v>
      </c>
      <c r="E11" s="34" t="s">
        <v>1736</v>
      </c>
      <c r="F11" s="34" t="s">
        <v>1737</v>
      </c>
      <c r="G11" s="34" t="s">
        <v>1738</v>
      </c>
      <c r="H11" s="34" t="s">
        <v>1739</v>
      </c>
      <c r="I11" s="35">
        <v>3</v>
      </c>
      <c r="J11" s="34" t="s">
        <v>1740</v>
      </c>
      <c r="K11" s="35"/>
      <c r="L11" s="34" t="s">
        <v>1732</v>
      </c>
      <c r="M11" s="35" t="s">
        <v>29</v>
      </c>
      <c r="N11" s="34" t="s">
        <v>723</v>
      </c>
      <c r="O11" s="35" t="s">
        <v>816</v>
      </c>
      <c r="P11" s="35" t="s">
        <v>669</v>
      </c>
    </row>
    <row r="12" spans="1:16" ht="409.6" customHeight="1" x14ac:dyDescent="0.25">
      <c r="A12" s="33">
        <v>10</v>
      </c>
      <c r="B12" s="34" t="s">
        <v>1741</v>
      </c>
      <c r="C12" s="35"/>
      <c r="D12" s="34" t="s">
        <v>1742</v>
      </c>
      <c r="E12" s="34" t="s">
        <v>1743</v>
      </c>
      <c r="F12" s="34" t="s">
        <v>1744</v>
      </c>
      <c r="G12" s="34" t="s">
        <v>1745</v>
      </c>
      <c r="H12" s="34" t="s">
        <v>1746</v>
      </c>
      <c r="I12" s="35">
        <v>5</v>
      </c>
      <c r="J12" s="34" t="s">
        <v>1747</v>
      </c>
      <c r="K12" s="35"/>
      <c r="L12" s="34" t="s">
        <v>1732</v>
      </c>
      <c r="M12" s="35" t="s">
        <v>29</v>
      </c>
      <c r="N12" s="34" t="s">
        <v>731</v>
      </c>
      <c r="O12" s="35" t="s">
        <v>816</v>
      </c>
      <c r="P12" s="35" t="s">
        <v>669</v>
      </c>
    </row>
    <row r="13" spans="1:16" ht="409.6" customHeight="1" x14ac:dyDescent="0.25">
      <c r="A13" s="33">
        <v>11</v>
      </c>
      <c r="B13" s="34" t="s">
        <v>1748</v>
      </c>
      <c r="C13" s="35"/>
      <c r="D13" s="34" t="s">
        <v>1749</v>
      </c>
      <c r="E13" s="34" t="s">
        <v>1750</v>
      </c>
      <c r="F13" s="34" t="s">
        <v>1751</v>
      </c>
      <c r="G13" s="34" t="s">
        <v>1752</v>
      </c>
      <c r="H13" s="34" t="s">
        <v>1753</v>
      </c>
      <c r="I13" s="35">
        <v>1</v>
      </c>
      <c r="J13" s="34" t="s">
        <v>1754</v>
      </c>
      <c r="K13" s="35"/>
      <c r="L13" s="34" t="s">
        <v>1732</v>
      </c>
      <c r="M13" s="35" t="s">
        <v>29</v>
      </c>
      <c r="N13" s="34" t="s">
        <v>1755</v>
      </c>
      <c r="O13" s="35" t="s">
        <v>816</v>
      </c>
      <c r="P13" s="35" t="s">
        <v>669</v>
      </c>
    </row>
    <row r="14" spans="1:16" ht="409.6" customHeight="1" x14ac:dyDescent="0.25">
      <c r="A14" s="33">
        <v>12</v>
      </c>
      <c r="B14" s="34" t="s">
        <v>1756</v>
      </c>
      <c r="C14" s="35"/>
      <c r="D14" s="34" t="s">
        <v>1757</v>
      </c>
      <c r="E14" s="34" t="s">
        <v>1758</v>
      </c>
      <c r="F14" s="34" t="s">
        <v>1759</v>
      </c>
      <c r="G14" s="34" t="s">
        <v>1760</v>
      </c>
      <c r="H14" s="34" t="s">
        <v>1761</v>
      </c>
      <c r="I14" s="35">
        <v>1</v>
      </c>
      <c r="J14" s="34" t="s">
        <v>1762</v>
      </c>
      <c r="K14" s="35"/>
      <c r="L14" s="34" t="s">
        <v>1732</v>
      </c>
      <c r="M14" s="35" t="s">
        <v>29</v>
      </c>
      <c r="N14" s="34" t="s">
        <v>1763</v>
      </c>
      <c r="O14" s="35" t="s">
        <v>816</v>
      </c>
      <c r="P14" s="35" t="s">
        <v>669</v>
      </c>
    </row>
    <row r="15" spans="1:16" ht="409.6" customHeight="1" x14ac:dyDescent="0.25">
      <c r="A15" s="33">
        <v>13</v>
      </c>
      <c r="B15" s="34" t="s">
        <v>1764</v>
      </c>
      <c r="C15" s="35"/>
      <c r="D15" s="34" t="s">
        <v>1765</v>
      </c>
      <c r="E15" s="34" t="s">
        <v>1766</v>
      </c>
      <c r="F15" s="34" t="s">
        <v>1767</v>
      </c>
      <c r="G15" s="34" t="s">
        <v>1768</v>
      </c>
      <c r="H15" s="34" t="s">
        <v>1769</v>
      </c>
      <c r="I15" s="35">
        <v>2</v>
      </c>
      <c r="J15" s="34" t="s">
        <v>1770</v>
      </c>
      <c r="K15" s="35"/>
      <c r="L15" s="34" t="s">
        <v>1732</v>
      </c>
      <c r="M15" s="35" t="s">
        <v>29</v>
      </c>
      <c r="N15" s="34" t="s">
        <v>1771</v>
      </c>
      <c r="O15" s="35" t="s">
        <v>816</v>
      </c>
      <c r="P15" s="35" t="s">
        <v>669</v>
      </c>
    </row>
    <row r="16" spans="1:16" ht="409.6" customHeight="1" x14ac:dyDescent="0.25">
      <c r="A16" s="33">
        <v>14</v>
      </c>
      <c r="B16" s="34" t="s">
        <v>1772</v>
      </c>
      <c r="C16" s="35"/>
      <c r="D16" s="34" t="s">
        <v>1773</v>
      </c>
      <c r="E16" s="34" t="s">
        <v>1774</v>
      </c>
      <c r="F16" s="34" t="s">
        <v>1775</v>
      </c>
      <c r="G16" s="34" t="s">
        <v>1776</v>
      </c>
      <c r="H16" s="34" t="s">
        <v>1777</v>
      </c>
      <c r="I16" s="35">
        <v>4</v>
      </c>
      <c r="J16" s="34" t="s">
        <v>1778</v>
      </c>
      <c r="K16" s="35"/>
      <c r="L16" s="34" t="s">
        <v>1779</v>
      </c>
      <c r="M16" s="35" t="s">
        <v>29</v>
      </c>
      <c r="N16" s="34" t="s">
        <v>1780</v>
      </c>
      <c r="O16" s="35" t="s">
        <v>816</v>
      </c>
      <c r="P16" s="35" t="s">
        <v>669</v>
      </c>
    </row>
    <row r="17" spans="1:17" ht="409.6" customHeight="1" x14ac:dyDescent="0.25">
      <c r="A17" s="33">
        <v>15</v>
      </c>
      <c r="B17" s="34" t="s">
        <v>1781</v>
      </c>
      <c r="C17" s="35"/>
      <c r="D17" s="34" t="s">
        <v>1782</v>
      </c>
      <c r="E17" s="34" t="s">
        <v>1783</v>
      </c>
      <c r="F17" s="34" t="s">
        <v>1784</v>
      </c>
      <c r="G17" s="34" t="s">
        <v>1785</v>
      </c>
      <c r="H17" s="34" t="s">
        <v>1786</v>
      </c>
      <c r="I17" s="35">
        <v>2</v>
      </c>
      <c r="J17" s="34" t="s">
        <v>1787</v>
      </c>
      <c r="K17" s="35"/>
      <c r="L17" s="34" t="s">
        <v>1732</v>
      </c>
      <c r="M17" s="35" t="s">
        <v>29</v>
      </c>
      <c r="N17" s="34" t="s">
        <v>1788</v>
      </c>
      <c r="O17" s="35" t="s">
        <v>816</v>
      </c>
      <c r="P17" s="35" t="s">
        <v>669</v>
      </c>
    </row>
    <row r="18" spans="1:17" ht="409.6" customHeight="1" x14ac:dyDescent="0.25">
      <c r="A18" s="33">
        <v>16</v>
      </c>
      <c r="B18" s="34" t="s">
        <v>1789</v>
      </c>
      <c r="C18" s="35"/>
      <c r="D18" s="34" t="s">
        <v>1790</v>
      </c>
      <c r="E18" s="34" t="s">
        <v>1791</v>
      </c>
      <c r="F18" s="34" t="s">
        <v>1792</v>
      </c>
      <c r="G18" s="34" t="s">
        <v>1793</v>
      </c>
      <c r="H18" s="34" t="s">
        <v>1794</v>
      </c>
      <c r="I18" s="35">
        <v>4</v>
      </c>
      <c r="J18" s="34" t="s">
        <v>1795</v>
      </c>
      <c r="K18" s="35"/>
      <c r="L18" s="34" t="s">
        <v>1732</v>
      </c>
      <c r="M18" s="35" t="s">
        <v>29</v>
      </c>
      <c r="N18" s="34" t="s">
        <v>1796</v>
      </c>
      <c r="O18" s="35" t="s">
        <v>816</v>
      </c>
      <c r="P18" s="35" t="s">
        <v>669</v>
      </c>
    </row>
    <row r="19" spans="1:17" ht="409.6" customHeight="1" x14ac:dyDescent="0.25">
      <c r="A19" s="33">
        <v>17</v>
      </c>
      <c r="B19" s="34" t="s">
        <v>1797</v>
      </c>
      <c r="C19" s="35"/>
      <c r="D19" s="34" t="s">
        <v>1798</v>
      </c>
      <c r="E19" s="34" t="s">
        <v>1799</v>
      </c>
      <c r="F19" s="34" t="s">
        <v>1800</v>
      </c>
      <c r="G19" s="34" t="s">
        <v>1801</v>
      </c>
      <c r="H19" s="34" t="s">
        <v>1802</v>
      </c>
      <c r="I19" s="35">
        <v>1</v>
      </c>
      <c r="J19" s="34" t="s">
        <v>1803</v>
      </c>
      <c r="K19" s="35"/>
      <c r="L19" s="34" t="s">
        <v>1804</v>
      </c>
      <c r="M19" s="35" t="s">
        <v>29</v>
      </c>
      <c r="N19" s="34" t="s">
        <v>771</v>
      </c>
      <c r="O19" s="35" t="s">
        <v>816</v>
      </c>
      <c r="P19" s="35" t="s">
        <v>669</v>
      </c>
    </row>
    <row r="20" spans="1:17" ht="409.6" customHeight="1" x14ac:dyDescent="0.25">
      <c r="A20" s="33">
        <v>18</v>
      </c>
      <c r="B20" s="34" t="s">
        <v>1805</v>
      </c>
      <c r="C20" s="35"/>
      <c r="D20" s="34" t="s">
        <v>1259</v>
      </c>
      <c r="E20" s="34" t="s">
        <v>1806</v>
      </c>
      <c r="F20" s="34" t="s">
        <v>1130</v>
      </c>
      <c r="G20" s="34" t="s">
        <v>1694</v>
      </c>
      <c r="H20" s="34" t="s">
        <v>1215</v>
      </c>
      <c r="I20" s="35">
        <v>1</v>
      </c>
      <c r="J20" s="34" t="s">
        <v>1807</v>
      </c>
      <c r="K20" s="35"/>
      <c r="L20" s="34" t="s">
        <v>1732</v>
      </c>
      <c r="M20" s="35" t="s">
        <v>29</v>
      </c>
      <c r="N20" s="34" t="s">
        <v>1808</v>
      </c>
      <c r="O20" s="35" t="s">
        <v>816</v>
      </c>
      <c r="P20" s="35" t="s">
        <v>669</v>
      </c>
    </row>
    <row r="21" spans="1:17" ht="409.6" customHeight="1" x14ac:dyDescent="0.25">
      <c r="A21" s="33">
        <v>19</v>
      </c>
      <c r="B21" s="34" t="s">
        <v>1809</v>
      </c>
      <c r="C21" s="35"/>
      <c r="D21" s="34" t="s">
        <v>1810</v>
      </c>
      <c r="E21" s="34" t="s">
        <v>1811</v>
      </c>
      <c r="F21" s="34" t="s">
        <v>1812</v>
      </c>
      <c r="G21" s="34" t="s">
        <v>1813</v>
      </c>
      <c r="H21" s="34" t="s">
        <v>1814</v>
      </c>
      <c r="I21" s="35">
        <v>5</v>
      </c>
      <c r="J21" s="34" t="s">
        <v>1815</v>
      </c>
      <c r="K21" s="35"/>
      <c r="L21" s="34" t="s">
        <v>1804</v>
      </c>
      <c r="M21" s="35" t="s">
        <v>29</v>
      </c>
      <c r="N21" s="34" t="s">
        <v>783</v>
      </c>
      <c r="O21" s="35" t="s">
        <v>816</v>
      </c>
      <c r="P21" s="35" t="s">
        <v>669</v>
      </c>
    </row>
    <row r="22" spans="1:17" ht="409.6" customHeight="1" x14ac:dyDescent="0.25">
      <c r="A22" s="33">
        <v>20</v>
      </c>
      <c r="B22" s="34" t="s">
        <v>1816</v>
      </c>
      <c r="C22" s="35"/>
      <c r="D22" s="34" t="s">
        <v>1817</v>
      </c>
      <c r="E22" s="34" t="s">
        <v>1818</v>
      </c>
      <c r="F22" s="34" t="s">
        <v>1819</v>
      </c>
      <c r="G22" s="34" t="s">
        <v>1820</v>
      </c>
      <c r="H22" s="34" t="s">
        <v>1821</v>
      </c>
      <c r="I22" s="35">
        <v>3</v>
      </c>
      <c r="J22" s="34" t="s">
        <v>1822</v>
      </c>
      <c r="K22" s="35"/>
      <c r="L22" s="34" t="s">
        <v>1804</v>
      </c>
      <c r="M22" s="35" t="s">
        <v>29</v>
      </c>
      <c r="N22" s="34" t="s">
        <v>1823</v>
      </c>
      <c r="O22" s="35" t="s">
        <v>816</v>
      </c>
      <c r="P22" s="35" t="s">
        <v>669</v>
      </c>
    </row>
    <row r="23" spans="1:17" ht="409.6" customHeight="1" x14ac:dyDescent="0.25">
      <c r="A23" s="33">
        <v>21</v>
      </c>
      <c r="B23" s="34" t="s">
        <v>1824</v>
      </c>
      <c r="C23" s="35"/>
      <c r="D23" s="34" t="s">
        <v>1825</v>
      </c>
      <c r="E23" s="34" t="s">
        <v>1826</v>
      </c>
      <c r="F23" s="34" t="s">
        <v>1827</v>
      </c>
      <c r="G23" s="34" t="s">
        <v>1828</v>
      </c>
      <c r="H23" s="34" t="s">
        <v>1829</v>
      </c>
      <c r="I23" s="35">
        <v>4</v>
      </c>
      <c r="J23" s="34" t="s">
        <v>1830</v>
      </c>
      <c r="K23" s="35"/>
      <c r="L23" s="34" t="s">
        <v>1804</v>
      </c>
      <c r="M23" s="35" t="s">
        <v>29</v>
      </c>
      <c r="N23" s="34" t="s">
        <v>1831</v>
      </c>
      <c r="O23" s="35" t="s">
        <v>816</v>
      </c>
      <c r="P23" s="35" t="s">
        <v>669</v>
      </c>
    </row>
    <row r="24" spans="1:17" ht="409.6" customHeight="1" x14ac:dyDescent="0.25">
      <c r="A24" s="33">
        <v>22</v>
      </c>
      <c r="B24" s="34" t="s">
        <v>1832</v>
      </c>
      <c r="C24" s="35"/>
      <c r="D24" s="34" t="s">
        <v>1833</v>
      </c>
      <c r="E24" s="34" t="s">
        <v>1834</v>
      </c>
      <c r="F24" s="34" t="s">
        <v>1835</v>
      </c>
      <c r="G24" s="34" t="s">
        <v>1836</v>
      </c>
      <c r="H24" s="34" t="s">
        <v>1837</v>
      </c>
      <c r="I24" s="35">
        <v>2</v>
      </c>
      <c r="J24" s="34" t="s">
        <v>1838</v>
      </c>
      <c r="K24" s="35"/>
      <c r="L24" s="34" t="s">
        <v>1804</v>
      </c>
      <c r="M24" s="35" t="s">
        <v>29</v>
      </c>
      <c r="N24" s="34" t="s">
        <v>1839</v>
      </c>
      <c r="O24" s="35" t="s">
        <v>816</v>
      </c>
      <c r="P24" s="35" t="s">
        <v>669</v>
      </c>
    </row>
    <row r="25" spans="1:17" ht="409.6" customHeight="1" x14ac:dyDescent="0.25">
      <c r="A25" s="33">
        <v>23</v>
      </c>
      <c r="B25" s="34" t="s">
        <v>1840</v>
      </c>
      <c r="C25" s="35"/>
      <c r="D25" s="34" t="s">
        <v>1841</v>
      </c>
      <c r="E25" s="34" t="s">
        <v>1842</v>
      </c>
      <c r="F25" s="34" t="s">
        <v>1843</v>
      </c>
      <c r="G25" s="34" t="s">
        <v>1844</v>
      </c>
      <c r="H25" s="34" t="s">
        <v>1845</v>
      </c>
      <c r="I25" s="35">
        <v>3</v>
      </c>
      <c r="J25" s="34" t="s">
        <v>1846</v>
      </c>
      <c r="K25" s="35"/>
      <c r="L25" s="34" t="s">
        <v>1847</v>
      </c>
      <c r="M25" s="35" t="s">
        <v>29</v>
      </c>
      <c r="N25" s="34" t="s">
        <v>1848</v>
      </c>
      <c r="O25" s="35" t="s">
        <v>816</v>
      </c>
      <c r="P25" s="35" t="s">
        <v>1849</v>
      </c>
      <c r="Q25" s="2"/>
    </row>
    <row r="26" spans="1:17" ht="409.6" customHeight="1" x14ac:dyDescent="0.25">
      <c r="A26" s="33">
        <v>24</v>
      </c>
      <c r="B26" s="34" t="s">
        <v>1850</v>
      </c>
      <c r="C26" s="35"/>
      <c r="D26" s="34" t="s">
        <v>1851</v>
      </c>
      <c r="E26" s="34" t="s">
        <v>1852</v>
      </c>
      <c r="F26" s="34" t="s">
        <v>1853</v>
      </c>
      <c r="G26" s="34" t="s">
        <v>1854</v>
      </c>
      <c r="H26" s="34" t="s">
        <v>1855</v>
      </c>
      <c r="I26" s="35">
        <v>2</v>
      </c>
      <c r="J26" s="34" t="s">
        <v>1856</v>
      </c>
      <c r="K26" s="35"/>
      <c r="L26" s="34" t="s">
        <v>1857</v>
      </c>
      <c r="M26" s="35" t="s">
        <v>29</v>
      </c>
      <c r="N26" s="34" t="s">
        <v>1858</v>
      </c>
      <c r="O26" s="35" t="s">
        <v>816</v>
      </c>
      <c r="P26" s="35" t="s">
        <v>1849</v>
      </c>
      <c r="Q26" s="2"/>
    </row>
    <row r="27" spans="1:17" ht="409.6" customHeight="1" x14ac:dyDescent="0.25">
      <c r="A27" s="33">
        <v>25</v>
      </c>
      <c r="B27" s="34" t="s">
        <v>1859</v>
      </c>
      <c r="C27" s="35"/>
      <c r="D27" s="34" t="s">
        <v>1215</v>
      </c>
      <c r="E27" s="34" t="s">
        <v>442</v>
      </c>
      <c r="F27" s="34" t="s">
        <v>107</v>
      </c>
      <c r="G27" s="34" t="s">
        <v>1860</v>
      </c>
      <c r="H27" s="34" t="s">
        <v>1861</v>
      </c>
      <c r="I27" s="35">
        <v>4</v>
      </c>
      <c r="J27" s="34" t="s">
        <v>1862</v>
      </c>
      <c r="K27" s="35"/>
      <c r="L27" s="34" t="s">
        <v>1863</v>
      </c>
      <c r="M27" s="35" t="s">
        <v>29</v>
      </c>
      <c r="N27" s="34" t="s">
        <v>1864</v>
      </c>
      <c r="O27" s="35" t="s">
        <v>164</v>
      </c>
      <c r="P27" s="35" t="s">
        <v>1865</v>
      </c>
      <c r="Q27" s="2"/>
    </row>
    <row r="28" spans="1:17" ht="409.6" customHeight="1" x14ac:dyDescent="0.25">
      <c r="A28" s="33">
        <v>26</v>
      </c>
      <c r="B28" s="34" t="s">
        <v>1866</v>
      </c>
      <c r="C28" s="35"/>
      <c r="D28" s="34" t="s">
        <v>1867</v>
      </c>
      <c r="E28" s="34" t="s">
        <v>1215</v>
      </c>
      <c r="F28" s="34" t="s">
        <v>1214</v>
      </c>
      <c r="G28" s="34" t="s">
        <v>1868</v>
      </c>
      <c r="H28" s="34" t="s">
        <v>331</v>
      </c>
      <c r="I28" s="35">
        <v>3</v>
      </c>
      <c r="J28" s="34" t="s">
        <v>1869</v>
      </c>
      <c r="K28" s="35"/>
      <c r="L28" s="34" t="s">
        <v>1645</v>
      </c>
      <c r="M28" s="35" t="s">
        <v>29</v>
      </c>
      <c r="N28" s="34" t="s">
        <v>1870</v>
      </c>
      <c r="O28" s="35" t="s">
        <v>164</v>
      </c>
      <c r="P28" s="35" t="s">
        <v>1865</v>
      </c>
    </row>
    <row r="29" spans="1:17" ht="409.6" customHeight="1" x14ac:dyDescent="0.25">
      <c r="A29" s="33">
        <v>27</v>
      </c>
      <c r="B29" s="34" t="s">
        <v>1871</v>
      </c>
      <c r="C29" s="35"/>
      <c r="D29" s="34" t="s">
        <v>1872</v>
      </c>
      <c r="E29" s="34" t="s">
        <v>1873</v>
      </c>
      <c r="F29" s="34" t="s">
        <v>1874</v>
      </c>
      <c r="G29" s="34" t="s">
        <v>1875</v>
      </c>
      <c r="H29" s="34" t="s">
        <v>1876</v>
      </c>
      <c r="I29" s="35">
        <v>1</v>
      </c>
      <c r="J29" s="34" t="s">
        <v>1877</v>
      </c>
      <c r="K29" s="35"/>
      <c r="L29" s="34" t="s">
        <v>1732</v>
      </c>
      <c r="M29" s="35" t="s">
        <v>29</v>
      </c>
      <c r="N29" s="34" t="s">
        <v>1864</v>
      </c>
      <c r="O29" s="35" t="s">
        <v>164</v>
      </c>
      <c r="P29" s="35" t="s">
        <v>1865</v>
      </c>
    </row>
    <row r="30" spans="1:17" ht="409.6" customHeight="1" x14ac:dyDescent="0.25">
      <c r="A30" s="33">
        <v>28</v>
      </c>
      <c r="B30" s="34" t="s">
        <v>1878</v>
      </c>
      <c r="C30" s="35"/>
      <c r="D30" s="34" t="s">
        <v>1879</v>
      </c>
      <c r="E30" s="34" t="s">
        <v>1880</v>
      </c>
      <c r="F30" s="34" t="s">
        <v>1881</v>
      </c>
      <c r="G30" s="34" t="s">
        <v>1882</v>
      </c>
      <c r="H30" s="34" t="s">
        <v>1883</v>
      </c>
      <c r="I30" s="35">
        <v>1</v>
      </c>
      <c r="J30" s="34" t="s">
        <v>1884</v>
      </c>
      <c r="K30" s="35"/>
      <c r="L30" s="34" t="s">
        <v>1732</v>
      </c>
      <c r="M30" s="35" t="s">
        <v>29</v>
      </c>
      <c r="N30" s="34" t="s">
        <v>1885</v>
      </c>
      <c r="O30" s="35" t="s">
        <v>164</v>
      </c>
      <c r="P30" s="35" t="s">
        <v>1865</v>
      </c>
      <c r="Q30" s="2"/>
    </row>
    <row r="31" spans="1:17" ht="409.6" customHeight="1" x14ac:dyDescent="0.25">
      <c r="A31" s="33">
        <v>29</v>
      </c>
      <c r="B31" s="34" t="s">
        <v>1886</v>
      </c>
      <c r="C31" s="35"/>
      <c r="D31" s="34" t="s">
        <v>1887</v>
      </c>
      <c r="E31" s="34" t="s">
        <v>1888</v>
      </c>
      <c r="F31" s="34" t="s">
        <v>1889</v>
      </c>
      <c r="G31" s="34" t="s">
        <v>1890</v>
      </c>
      <c r="H31" s="34" t="s">
        <v>1891</v>
      </c>
      <c r="I31" s="35">
        <v>1</v>
      </c>
      <c r="J31" s="34" t="s">
        <v>1892</v>
      </c>
      <c r="K31" s="35"/>
      <c r="L31" s="34" t="s">
        <v>1732</v>
      </c>
      <c r="M31" s="35" t="s">
        <v>29</v>
      </c>
      <c r="N31" s="34" t="s">
        <v>1893</v>
      </c>
      <c r="O31" s="35" t="s">
        <v>164</v>
      </c>
      <c r="P31" s="35" t="s">
        <v>1865</v>
      </c>
      <c r="Q31" s="2"/>
    </row>
    <row r="32" spans="1:17" ht="409.6" customHeight="1" x14ac:dyDescent="0.25">
      <c r="A32" s="33">
        <v>30</v>
      </c>
      <c r="B32" s="34" t="s">
        <v>1894</v>
      </c>
      <c r="C32" s="35"/>
      <c r="D32" s="34" t="s">
        <v>1895</v>
      </c>
      <c r="E32" s="34" t="s">
        <v>740</v>
      </c>
      <c r="F32" s="34" t="s">
        <v>1896</v>
      </c>
      <c r="G32" s="34" t="s">
        <v>1897</v>
      </c>
      <c r="H32" s="34" t="s">
        <v>1898</v>
      </c>
      <c r="I32" s="35">
        <v>1</v>
      </c>
      <c r="J32" s="34" t="s">
        <v>1899</v>
      </c>
      <c r="K32" s="35"/>
      <c r="L32" s="34" t="s">
        <v>1732</v>
      </c>
      <c r="M32" s="35" t="s">
        <v>29</v>
      </c>
      <c r="N32" s="34" t="s">
        <v>1900</v>
      </c>
      <c r="O32" s="35" t="s">
        <v>164</v>
      </c>
      <c r="P32" s="35" t="s">
        <v>1865</v>
      </c>
      <c r="Q32" s="2"/>
    </row>
    <row r="33" spans="1:17" ht="409.6" customHeight="1" x14ac:dyDescent="0.25">
      <c r="A33" s="33">
        <v>31</v>
      </c>
      <c r="B33" s="34" t="s">
        <v>1901</v>
      </c>
      <c r="C33" s="35"/>
      <c r="D33" s="34" t="s">
        <v>1902</v>
      </c>
      <c r="E33" s="34" t="s">
        <v>1903</v>
      </c>
      <c r="F33" s="34" t="s">
        <v>1904</v>
      </c>
      <c r="G33" s="34" t="s">
        <v>1905</v>
      </c>
      <c r="H33" s="34" t="s">
        <v>1906</v>
      </c>
      <c r="I33" s="35">
        <v>2</v>
      </c>
      <c r="J33" s="34" t="s">
        <v>1907</v>
      </c>
      <c r="K33" s="35"/>
      <c r="L33" s="34" t="s">
        <v>1908</v>
      </c>
      <c r="M33" s="35" t="s">
        <v>29</v>
      </c>
      <c r="N33" s="34" t="s">
        <v>1909</v>
      </c>
      <c r="O33" s="35" t="s">
        <v>164</v>
      </c>
      <c r="P33" s="35" t="s">
        <v>1865</v>
      </c>
      <c r="Q33" s="2"/>
    </row>
    <row r="34" spans="1:17" ht="409.6" customHeight="1" x14ac:dyDescent="0.25">
      <c r="A34" s="33">
        <v>32</v>
      </c>
      <c r="B34" s="34" t="s">
        <v>1910</v>
      </c>
      <c r="C34" s="35"/>
      <c r="D34" s="34" t="s">
        <v>1911</v>
      </c>
      <c r="E34" s="34" t="s">
        <v>1912</v>
      </c>
      <c r="F34" s="34" t="s">
        <v>1379</v>
      </c>
      <c r="G34" s="34" t="s">
        <v>1380</v>
      </c>
      <c r="H34" s="34" t="s">
        <v>1913</v>
      </c>
      <c r="I34" s="35">
        <v>3</v>
      </c>
      <c r="J34" s="34" t="s">
        <v>1914</v>
      </c>
      <c r="K34" s="35"/>
      <c r="L34" s="34" t="s">
        <v>1915</v>
      </c>
      <c r="M34" s="35" t="s">
        <v>29</v>
      </c>
      <c r="N34" s="34" t="s">
        <v>1916</v>
      </c>
      <c r="O34" s="35" t="s">
        <v>164</v>
      </c>
      <c r="P34" s="35" t="s">
        <v>1865</v>
      </c>
      <c r="Q34" s="2"/>
    </row>
    <row r="35" spans="1:17" ht="409.6" customHeight="1" x14ac:dyDescent="0.25">
      <c r="A35" s="33">
        <v>33</v>
      </c>
      <c r="B35" s="34" t="s">
        <v>1917</v>
      </c>
      <c r="C35" s="35"/>
      <c r="D35" s="34" t="s">
        <v>1918</v>
      </c>
      <c r="E35" s="34" t="s">
        <v>1919</v>
      </c>
      <c r="F35" s="34" t="s">
        <v>1920</v>
      </c>
      <c r="G35" s="34" t="s">
        <v>1921</v>
      </c>
      <c r="H35" s="34" t="s">
        <v>1922</v>
      </c>
      <c r="I35" s="35">
        <v>4</v>
      </c>
      <c r="J35" s="34" t="s">
        <v>1923</v>
      </c>
      <c r="K35" s="35"/>
      <c r="L35" s="34" t="s">
        <v>1924</v>
      </c>
      <c r="M35" s="35" t="s">
        <v>29</v>
      </c>
      <c r="N35" s="34" t="s">
        <v>1925</v>
      </c>
      <c r="O35" s="35" t="s">
        <v>164</v>
      </c>
      <c r="P35" s="35" t="s">
        <v>1865</v>
      </c>
      <c r="Q35" s="2"/>
    </row>
    <row r="36" spans="1:17" ht="409.6" customHeight="1" x14ac:dyDescent="0.25">
      <c r="A36" s="33">
        <v>34</v>
      </c>
      <c r="B36" s="34" t="s">
        <v>1926</v>
      </c>
      <c r="C36" s="35"/>
      <c r="D36" s="34" t="s">
        <v>1927</v>
      </c>
      <c r="E36" s="34" t="s">
        <v>1928</v>
      </c>
      <c r="F36" s="34" t="s">
        <v>1929</v>
      </c>
      <c r="G36" s="34" t="s">
        <v>1930</v>
      </c>
      <c r="H36" s="34" t="s">
        <v>1931</v>
      </c>
      <c r="I36" s="35">
        <v>4</v>
      </c>
      <c r="J36" s="34" t="s">
        <v>1932</v>
      </c>
      <c r="K36" s="35"/>
      <c r="L36" s="34" t="s">
        <v>1933</v>
      </c>
      <c r="M36" s="35" t="s">
        <v>29</v>
      </c>
      <c r="N36" s="34" t="s">
        <v>1934</v>
      </c>
      <c r="O36" s="35" t="s">
        <v>164</v>
      </c>
      <c r="P36" s="35" t="s">
        <v>1865</v>
      </c>
      <c r="Q36" s="2"/>
    </row>
    <row r="37" spans="1:17" ht="409.6" customHeight="1" x14ac:dyDescent="0.25">
      <c r="A37" s="33">
        <v>35</v>
      </c>
      <c r="B37" s="34" t="s">
        <v>1935</v>
      </c>
      <c r="C37" s="35"/>
      <c r="D37" s="34" t="s">
        <v>1936</v>
      </c>
      <c r="E37" s="34" t="s">
        <v>1937</v>
      </c>
      <c r="F37" s="34" t="s">
        <v>1938</v>
      </c>
      <c r="G37" s="34" t="s">
        <v>1939</v>
      </c>
      <c r="H37" s="34" t="s">
        <v>1940</v>
      </c>
      <c r="I37" s="35">
        <v>3</v>
      </c>
      <c r="J37" s="34" t="s">
        <v>1941</v>
      </c>
      <c r="K37" s="35"/>
      <c r="L37" s="34" t="s">
        <v>1732</v>
      </c>
      <c r="M37" s="35" t="s">
        <v>29</v>
      </c>
      <c r="N37" s="34" t="s">
        <v>1942</v>
      </c>
      <c r="O37" s="35" t="s">
        <v>164</v>
      </c>
      <c r="P37" s="35" t="s">
        <v>1865</v>
      </c>
      <c r="Q37" s="2"/>
    </row>
    <row r="38" spans="1:17" ht="409.6" customHeight="1" x14ac:dyDescent="0.25">
      <c r="A38" s="33">
        <v>36</v>
      </c>
      <c r="B38" s="34" t="s">
        <v>1943</v>
      </c>
      <c r="C38" s="35"/>
      <c r="D38" s="34" t="s">
        <v>1944</v>
      </c>
      <c r="E38" s="34" t="s">
        <v>1945</v>
      </c>
      <c r="F38" s="34" t="s">
        <v>1946</v>
      </c>
      <c r="G38" s="34" t="s">
        <v>1947</v>
      </c>
      <c r="H38" s="34" t="s">
        <v>1948</v>
      </c>
      <c r="I38" s="35">
        <v>1</v>
      </c>
      <c r="J38" s="34" t="s">
        <v>1949</v>
      </c>
      <c r="K38" s="35"/>
      <c r="L38" s="34" t="s">
        <v>1933</v>
      </c>
      <c r="M38" s="35" t="s">
        <v>29</v>
      </c>
      <c r="N38" s="34" t="s">
        <v>1942</v>
      </c>
      <c r="O38" s="35" t="s">
        <v>164</v>
      </c>
      <c r="P38" s="35" t="s">
        <v>1865</v>
      </c>
      <c r="Q38" s="2"/>
    </row>
    <row r="39" spans="1:17" ht="409.6" customHeight="1" x14ac:dyDescent="0.25">
      <c r="A39" s="33">
        <v>37</v>
      </c>
      <c r="B39" s="34" t="s">
        <v>1950</v>
      </c>
      <c r="C39" s="35"/>
      <c r="D39" s="34" t="s">
        <v>1951</v>
      </c>
      <c r="E39" s="34" t="s">
        <v>1952</v>
      </c>
      <c r="F39" s="34" t="s">
        <v>1953</v>
      </c>
      <c r="G39" s="34" t="s">
        <v>1954</v>
      </c>
      <c r="H39" s="34" t="s">
        <v>1955</v>
      </c>
      <c r="I39" s="35">
        <v>3</v>
      </c>
      <c r="J39" s="34" t="s">
        <v>1956</v>
      </c>
      <c r="K39" s="35"/>
      <c r="L39" s="34" t="s">
        <v>1957</v>
      </c>
      <c r="M39" s="35" t="s">
        <v>29</v>
      </c>
      <c r="N39" s="34" t="s">
        <v>1958</v>
      </c>
      <c r="O39" s="35" t="s">
        <v>164</v>
      </c>
      <c r="P39" s="35" t="s">
        <v>1865</v>
      </c>
    </row>
    <row r="40" spans="1:17" ht="409.6" customHeight="1" x14ac:dyDescent="0.25">
      <c r="A40" s="33">
        <v>38</v>
      </c>
      <c r="B40" s="34" t="s">
        <v>1959</v>
      </c>
      <c r="C40" s="35"/>
      <c r="D40" s="34" t="s">
        <v>1960</v>
      </c>
      <c r="E40" s="34" t="s">
        <v>442</v>
      </c>
      <c r="F40" s="34" t="s">
        <v>1961</v>
      </c>
      <c r="G40" s="34" t="s">
        <v>1962</v>
      </c>
      <c r="H40" s="34" t="s">
        <v>1963</v>
      </c>
      <c r="I40" s="35">
        <v>1</v>
      </c>
      <c r="J40" s="34" t="s">
        <v>1964</v>
      </c>
      <c r="K40" s="35"/>
      <c r="L40" s="34" t="s">
        <v>1965</v>
      </c>
      <c r="M40" s="35" t="s">
        <v>29</v>
      </c>
      <c r="N40" s="34" t="s">
        <v>1966</v>
      </c>
      <c r="O40" s="35" t="s">
        <v>164</v>
      </c>
      <c r="P40" s="35" t="s">
        <v>1865</v>
      </c>
      <c r="Q40" s="2"/>
    </row>
    <row r="41" spans="1:17" ht="409.6" customHeight="1" x14ac:dyDescent="0.25">
      <c r="A41" s="33">
        <v>39</v>
      </c>
      <c r="B41" s="34" t="s">
        <v>1967</v>
      </c>
      <c r="C41" s="35"/>
      <c r="D41" s="34" t="s">
        <v>1968</v>
      </c>
      <c r="E41" s="34" t="s">
        <v>1058</v>
      </c>
      <c r="F41" s="34" t="s">
        <v>740</v>
      </c>
      <c r="G41" s="34" t="s">
        <v>1897</v>
      </c>
      <c r="H41" s="34" t="s">
        <v>1969</v>
      </c>
      <c r="I41" s="35">
        <v>1</v>
      </c>
      <c r="J41" s="34" t="s">
        <v>1970</v>
      </c>
      <c r="K41" s="35"/>
      <c r="L41" s="34" t="s">
        <v>1971</v>
      </c>
      <c r="M41" s="35" t="s">
        <v>29</v>
      </c>
      <c r="N41" s="34" t="s">
        <v>1972</v>
      </c>
      <c r="O41" s="35" t="s">
        <v>164</v>
      </c>
      <c r="P41" s="35" t="s">
        <v>1865</v>
      </c>
    </row>
    <row r="42" spans="1:17" ht="409.6" customHeight="1" x14ac:dyDescent="0.25">
      <c r="A42" s="33">
        <v>40</v>
      </c>
      <c r="B42" s="34" t="s">
        <v>1973</v>
      </c>
      <c r="C42" s="35"/>
      <c r="D42" s="34" t="s">
        <v>1974</v>
      </c>
      <c r="E42" s="34" t="s">
        <v>1975</v>
      </c>
      <c r="F42" s="34" t="s">
        <v>1976</v>
      </c>
      <c r="G42" s="34" t="s">
        <v>1977</v>
      </c>
      <c r="H42" s="34" t="s">
        <v>1978</v>
      </c>
      <c r="I42" s="35">
        <v>3</v>
      </c>
      <c r="J42" s="34" t="s">
        <v>1979</v>
      </c>
      <c r="K42" s="35"/>
      <c r="L42" s="34" t="s">
        <v>1980</v>
      </c>
      <c r="M42" s="35" t="s">
        <v>29</v>
      </c>
      <c r="N42" s="34" t="s">
        <v>1981</v>
      </c>
      <c r="O42" s="35" t="s">
        <v>164</v>
      </c>
      <c r="P42" s="35" t="s">
        <v>1865</v>
      </c>
      <c r="Q42" s="2"/>
    </row>
    <row r="43" spans="1:17" ht="409.6" customHeight="1" x14ac:dyDescent="0.25">
      <c r="A43" s="33">
        <v>41</v>
      </c>
      <c r="B43" s="34" t="s">
        <v>1982</v>
      </c>
      <c r="C43" s="35"/>
      <c r="D43" s="34" t="s">
        <v>1983</v>
      </c>
      <c r="E43" s="34" t="s">
        <v>1984</v>
      </c>
      <c r="F43" s="34" t="s">
        <v>1985</v>
      </c>
      <c r="G43" s="34" t="s">
        <v>1986</v>
      </c>
      <c r="H43" s="34" t="s">
        <v>1987</v>
      </c>
      <c r="I43" s="35">
        <v>1</v>
      </c>
      <c r="J43" s="34" t="s">
        <v>1988</v>
      </c>
      <c r="K43" s="35"/>
      <c r="L43" s="34" t="s">
        <v>1989</v>
      </c>
      <c r="M43" s="35" t="s">
        <v>29</v>
      </c>
      <c r="N43" s="34" t="s">
        <v>1990</v>
      </c>
      <c r="O43" s="35" t="s">
        <v>164</v>
      </c>
      <c r="P43" s="35" t="s">
        <v>1865</v>
      </c>
      <c r="Q43" s="2"/>
    </row>
    <row r="44" spans="1:17" ht="409.6" customHeight="1" x14ac:dyDescent="0.25">
      <c r="A44" s="33">
        <v>42</v>
      </c>
      <c r="B44" s="34" t="s">
        <v>1991</v>
      </c>
      <c r="C44" s="35"/>
      <c r="D44" s="34" t="s">
        <v>1992</v>
      </c>
      <c r="E44" s="34" t="s">
        <v>1993</v>
      </c>
      <c r="F44" s="34" t="s">
        <v>1994</v>
      </c>
      <c r="G44" s="34" t="s">
        <v>1995</v>
      </c>
      <c r="H44" s="34" t="s">
        <v>1996</v>
      </c>
      <c r="I44" s="35">
        <v>1</v>
      </c>
      <c r="J44" s="34" t="s">
        <v>1997</v>
      </c>
      <c r="K44" s="35"/>
      <c r="L44" s="34" t="s">
        <v>1998</v>
      </c>
      <c r="M44" s="35" t="s">
        <v>29</v>
      </c>
      <c r="N44" s="34" t="s">
        <v>1999</v>
      </c>
      <c r="O44" s="35" t="s">
        <v>164</v>
      </c>
      <c r="P44" s="35" t="s">
        <v>1865</v>
      </c>
    </row>
    <row r="45" spans="1:17" ht="409.6" customHeight="1" x14ac:dyDescent="0.25">
      <c r="A45" s="33">
        <v>43</v>
      </c>
      <c r="B45" s="34" t="s">
        <v>2000</v>
      </c>
      <c r="C45" s="35"/>
      <c r="D45" s="34" t="s">
        <v>2001</v>
      </c>
      <c r="E45" s="34" t="s">
        <v>2002</v>
      </c>
      <c r="F45" s="34" t="s">
        <v>2003</v>
      </c>
      <c r="G45" s="34" t="s">
        <v>2004</v>
      </c>
      <c r="H45" s="34" t="s">
        <v>2005</v>
      </c>
      <c r="I45" s="35">
        <v>2</v>
      </c>
      <c r="J45" s="34" t="s">
        <v>2006</v>
      </c>
      <c r="K45" s="35"/>
      <c r="L45" s="34" t="s">
        <v>1645</v>
      </c>
      <c r="M45" s="35" t="s">
        <v>29</v>
      </c>
      <c r="N45" s="34" t="s">
        <v>2007</v>
      </c>
      <c r="O45" s="35" t="s">
        <v>164</v>
      </c>
      <c r="P45" s="35" t="s">
        <v>1865</v>
      </c>
      <c r="Q45" s="2"/>
    </row>
    <row r="46" spans="1:17" ht="409.6" customHeight="1" x14ac:dyDescent="0.25">
      <c r="A46" s="33">
        <v>44</v>
      </c>
      <c r="B46" s="34" t="s">
        <v>2008</v>
      </c>
      <c r="C46" s="35"/>
      <c r="D46" s="34" t="s">
        <v>2009</v>
      </c>
      <c r="E46" s="34" t="s">
        <v>2010</v>
      </c>
      <c r="F46" s="34" t="s">
        <v>2011</v>
      </c>
      <c r="G46" s="34" t="s">
        <v>2012</v>
      </c>
      <c r="H46" s="34" t="s">
        <v>2013</v>
      </c>
      <c r="I46" s="35">
        <v>2</v>
      </c>
      <c r="J46" s="34" t="s">
        <v>2014</v>
      </c>
      <c r="K46" s="35"/>
      <c r="L46" s="34" t="s">
        <v>2015</v>
      </c>
      <c r="M46" s="35" t="s">
        <v>29</v>
      </c>
      <c r="N46" s="34" t="s">
        <v>2016</v>
      </c>
      <c r="O46" s="35" t="s">
        <v>164</v>
      </c>
      <c r="P46" s="35" t="s">
        <v>2017</v>
      </c>
    </row>
    <row r="47" spans="1:17" ht="409.6" customHeight="1" x14ac:dyDescent="0.25">
      <c r="A47" s="33">
        <v>45</v>
      </c>
      <c r="B47" s="34" t="s">
        <v>2018</v>
      </c>
      <c r="C47" s="35"/>
      <c r="D47" s="34" t="s">
        <v>2019</v>
      </c>
      <c r="E47" s="34" t="s">
        <v>2020</v>
      </c>
      <c r="F47" s="34" t="s">
        <v>2021</v>
      </c>
      <c r="G47" s="34" t="s">
        <v>2022</v>
      </c>
      <c r="H47" s="34" t="s">
        <v>2023</v>
      </c>
      <c r="I47" s="35">
        <v>1</v>
      </c>
      <c r="J47" s="34" t="s">
        <v>2024</v>
      </c>
      <c r="K47" s="35"/>
      <c r="L47" s="34" t="s">
        <v>1732</v>
      </c>
      <c r="M47" s="35" t="s">
        <v>29</v>
      </c>
      <c r="N47" s="34" t="s">
        <v>2025</v>
      </c>
      <c r="O47" s="35" t="s">
        <v>164</v>
      </c>
      <c r="P47" s="35" t="s">
        <v>2017</v>
      </c>
    </row>
    <row r="48" spans="1:17" ht="409.6" customHeight="1" x14ac:dyDescent="0.25">
      <c r="A48" s="33">
        <v>46</v>
      </c>
      <c r="B48" s="34" t="s">
        <v>2026</v>
      </c>
      <c r="C48" s="35"/>
      <c r="D48" s="34" t="s">
        <v>2027</v>
      </c>
      <c r="E48" s="34" t="s">
        <v>2028</v>
      </c>
      <c r="F48" s="34" t="s">
        <v>2029</v>
      </c>
      <c r="G48" s="34" t="s">
        <v>2030</v>
      </c>
      <c r="H48" s="34" t="s">
        <v>2031</v>
      </c>
      <c r="I48" s="35">
        <v>1</v>
      </c>
      <c r="J48" s="34" t="s">
        <v>2032</v>
      </c>
      <c r="K48" s="35"/>
      <c r="L48" s="34" t="s">
        <v>1732</v>
      </c>
      <c r="M48" s="35" t="s">
        <v>29</v>
      </c>
      <c r="N48" s="34" t="s">
        <v>2033</v>
      </c>
      <c r="O48" s="35" t="s">
        <v>164</v>
      </c>
      <c r="P48" s="35" t="s">
        <v>2017</v>
      </c>
    </row>
    <row r="49" spans="1:17" ht="409.6" customHeight="1" x14ac:dyDescent="0.25">
      <c r="A49" s="33">
        <v>47</v>
      </c>
      <c r="B49" s="34" t="s">
        <v>2034</v>
      </c>
      <c r="C49" s="35"/>
      <c r="D49" s="34" t="s">
        <v>2035</v>
      </c>
      <c r="E49" s="34" t="s">
        <v>2036</v>
      </c>
      <c r="F49" s="34" t="s">
        <v>2037</v>
      </c>
      <c r="G49" s="34" t="s">
        <v>2038</v>
      </c>
      <c r="H49" s="34" t="s">
        <v>2039</v>
      </c>
      <c r="I49" s="35" t="s">
        <v>84</v>
      </c>
      <c r="J49" s="34" t="s">
        <v>2040</v>
      </c>
      <c r="K49" s="35" t="s">
        <v>1732</v>
      </c>
      <c r="L49" s="34" t="s">
        <v>2041</v>
      </c>
      <c r="M49" s="35" t="s">
        <v>29</v>
      </c>
      <c r="N49" s="34" t="s">
        <v>2041</v>
      </c>
      <c r="O49" s="35" t="s">
        <v>164</v>
      </c>
      <c r="P49" s="35" t="s">
        <v>2017</v>
      </c>
    </row>
    <row r="50" spans="1:17" ht="409.6" customHeight="1" x14ac:dyDescent="0.25">
      <c r="A50" s="33">
        <v>48</v>
      </c>
      <c r="B50" s="34" t="s">
        <v>2042</v>
      </c>
      <c r="C50" s="35"/>
      <c r="D50" s="34" t="s">
        <v>2043</v>
      </c>
      <c r="E50" s="34" t="s">
        <v>2044</v>
      </c>
      <c r="F50" s="34" t="s">
        <v>2045</v>
      </c>
      <c r="G50" s="34" t="s">
        <v>2046</v>
      </c>
      <c r="H50" s="34" t="s">
        <v>2047</v>
      </c>
      <c r="I50" s="35" t="s">
        <v>84</v>
      </c>
      <c r="J50" s="34" t="s">
        <v>2048</v>
      </c>
      <c r="K50" s="35" t="s">
        <v>2049</v>
      </c>
      <c r="L50" s="34" t="s">
        <v>2050</v>
      </c>
      <c r="M50" s="35" t="s">
        <v>29</v>
      </c>
      <c r="N50" s="34" t="s">
        <v>2050</v>
      </c>
      <c r="O50" s="35" t="s">
        <v>164</v>
      </c>
      <c r="P50" s="35" t="s">
        <v>2017</v>
      </c>
    </row>
    <row r="51" spans="1:17" ht="409.6" customHeight="1" x14ac:dyDescent="0.25">
      <c r="A51" s="33">
        <v>49</v>
      </c>
      <c r="B51" s="34" t="s">
        <v>2051</v>
      </c>
      <c r="C51" s="35"/>
      <c r="D51" s="34" t="s">
        <v>2052</v>
      </c>
      <c r="E51" s="34" t="s">
        <v>2053</v>
      </c>
      <c r="F51" s="34" t="s">
        <v>2054</v>
      </c>
      <c r="G51" s="34" t="s">
        <v>2055</v>
      </c>
      <c r="H51" s="34" t="s">
        <v>2056</v>
      </c>
      <c r="I51" s="33" t="s">
        <v>84</v>
      </c>
      <c r="J51" s="34" t="s">
        <v>2057</v>
      </c>
      <c r="K51" s="35" t="s">
        <v>2058</v>
      </c>
      <c r="L51" s="34" t="s">
        <v>2059</v>
      </c>
      <c r="M51" s="35" t="s">
        <v>29</v>
      </c>
      <c r="N51" s="34" t="s">
        <v>2059</v>
      </c>
      <c r="O51" s="35" t="s">
        <v>164</v>
      </c>
      <c r="P51" s="35" t="s">
        <v>2017</v>
      </c>
      <c r="Q51" s="2"/>
    </row>
    <row r="52" spans="1:17" ht="409.6" customHeight="1" x14ac:dyDescent="0.25">
      <c r="A52" s="33">
        <v>50</v>
      </c>
      <c r="B52" s="34" t="s">
        <v>2060</v>
      </c>
      <c r="C52" s="35"/>
      <c r="D52" s="34" t="s">
        <v>2043</v>
      </c>
      <c r="E52" s="34" t="s">
        <v>2061</v>
      </c>
      <c r="F52" s="34" t="s">
        <v>2062</v>
      </c>
      <c r="G52" s="34" t="s">
        <v>2063</v>
      </c>
      <c r="H52" s="34" t="s">
        <v>2064</v>
      </c>
      <c r="I52" s="33" t="s">
        <v>84</v>
      </c>
      <c r="J52" s="34" t="s">
        <v>2065</v>
      </c>
      <c r="K52" s="35" t="s">
        <v>2049</v>
      </c>
      <c r="L52" s="34" t="s">
        <v>2066</v>
      </c>
      <c r="M52" s="35" t="s">
        <v>29</v>
      </c>
      <c r="N52" s="34" t="s">
        <v>2066</v>
      </c>
      <c r="O52" s="35" t="s">
        <v>164</v>
      </c>
      <c r="P52" s="35" t="s">
        <v>2017</v>
      </c>
      <c r="Q52" s="2"/>
    </row>
    <row r="53" spans="1:17" ht="409.6" customHeight="1" x14ac:dyDescent="0.25">
      <c r="A53" s="33">
        <v>51</v>
      </c>
      <c r="B53" s="34" t="s">
        <v>2067</v>
      </c>
      <c r="C53" s="35"/>
      <c r="D53" s="34" t="s">
        <v>2068</v>
      </c>
      <c r="E53" s="34" t="s">
        <v>2069</v>
      </c>
      <c r="F53" s="34" t="s">
        <v>2070</v>
      </c>
      <c r="G53" s="34" t="s">
        <v>2071</v>
      </c>
      <c r="H53" s="34" t="s">
        <v>2072</v>
      </c>
      <c r="I53" s="33" t="s">
        <v>84</v>
      </c>
      <c r="J53" s="34" t="s">
        <v>2073</v>
      </c>
      <c r="K53" s="35" t="s">
        <v>2074</v>
      </c>
      <c r="L53" s="34" t="s">
        <v>2075</v>
      </c>
      <c r="M53" s="35" t="s">
        <v>29</v>
      </c>
      <c r="N53" s="34" t="s">
        <v>2075</v>
      </c>
      <c r="O53" s="35" t="s">
        <v>164</v>
      </c>
      <c r="P53" s="35" t="s">
        <v>2017</v>
      </c>
      <c r="Q53" s="2"/>
    </row>
    <row r="54" spans="1:17" ht="409.6" customHeight="1" x14ac:dyDescent="0.25">
      <c r="A54" s="33">
        <v>52</v>
      </c>
      <c r="B54" s="34" t="s">
        <v>2076</v>
      </c>
      <c r="C54" s="35"/>
      <c r="D54" s="34" t="s">
        <v>2077</v>
      </c>
      <c r="E54" s="34" t="s">
        <v>2078</v>
      </c>
      <c r="F54" s="34" t="s">
        <v>2079</v>
      </c>
      <c r="G54" s="34" t="s">
        <v>2080</v>
      </c>
      <c r="H54" s="34" t="s">
        <v>2081</v>
      </c>
      <c r="I54" s="33" t="s">
        <v>84</v>
      </c>
      <c r="J54" s="34" t="s">
        <v>2082</v>
      </c>
      <c r="K54" s="35" t="s">
        <v>2083</v>
      </c>
      <c r="L54" s="34" t="s">
        <v>2084</v>
      </c>
      <c r="M54" s="35" t="s">
        <v>29</v>
      </c>
      <c r="N54" s="34" t="s">
        <v>2084</v>
      </c>
      <c r="O54" s="35" t="s">
        <v>164</v>
      </c>
      <c r="P54" s="35" t="s">
        <v>2017</v>
      </c>
      <c r="Q54" s="2"/>
    </row>
    <row r="55" spans="1:17" ht="409.6" customHeight="1" x14ac:dyDescent="0.25">
      <c r="A55" s="33">
        <v>53</v>
      </c>
      <c r="B55" s="34" t="s">
        <v>2085</v>
      </c>
      <c r="C55" s="35"/>
      <c r="D55" s="34" t="s">
        <v>2086</v>
      </c>
      <c r="E55" s="34" t="s">
        <v>2087</v>
      </c>
      <c r="F55" s="34" t="s">
        <v>2088</v>
      </c>
      <c r="G55" s="34" t="s">
        <v>2089</v>
      </c>
      <c r="H55" s="34" t="s">
        <v>2090</v>
      </c>
      <c r="I55" s="33" t="s">
        <v>84</v>
      </c>
      <c r="J55" s="34" t="s">
        <v>2091</v>
      </c>
      <c r="K55" s="35" t="s">
        <v>2092</v>
      </c>
      <c r="L55" s="34" t="s">
        <v>2093</v>
      </c>
      <c r="M55" s="35" t="s">
        <v>29</v>
      </c>
      <c r="N55" s="34" t="s">
        <v>2093</v>
      </c>
      <c r="O55" s="35" t="s">
        <v>164</v>
      </c>
      <c r="P55" s="35" t="s">
        <v>2017</v>
      </c>
      <c r="Q55" s="2"/>
    </row>
    <row r="56" spans="1:17" ht="409.6" customHeight="1" x14ac:dyDescent="0.25">
      <c r="A56" s="33">
        <v>54</v>
      </c>
      <c r="B56" s="34" t="s">
        <v>2094</v>
      </c>
      <c r="C56" s="35"/>
      <c r="D56" s="34" t="s">
        <v>2095</v>
      </c>
      <c r="E56" s="34" t="s">
        <v>2022</v>
      </c>
      <c r="F56" s="34" t="s">
        <v>2096</v>
      </c>
      <c r="G56" s="34" t="s">
        <v>2097</v>
      </c>
      <c r="H56" s="34" t="s">
        <v>2098</v>
      </c>
      <c r="I56" s="33" t="s">
        <v>84</v>
      </c>
      <c r="J56" s="34" t="s">
        <v>2099</v>
      </c>
      <c r="K56" s="35" t="s">
        <v>2100</v>
      </c>
      <c r="L56" s="34" t="s">
        <v>2101</v>
      </c>
      <c r="M56" s="35" t="s">
        <v>29</v>
      </c>
      <c r="N56" s="34" t="s">
        <v>2101</v>
      </c>
      <c r="O56" s="35" t="s">
        <v>164</v>
      </c>
      <c r="P56" s="35" t="s">
        <v>2017</v>
      </c>
      <c r="Q56" s="2"/>
    </row>
    <row r="57" spans="1:17" ht="409.6" customHeight="1" x14ac:dyDescent="0.25">
      <c r="A57" s="33">
        <v>55</v>
      </c>
      <c r="B57" s="34" t="s">
        <v>2102</v>
      </c>
      <c r="C57" s="35"/>
      <c r="D57" s="34" t="s">
        <v>2103</v>
      </c>
      <c r="E57" s="34" t="s">
        <v>1887</v>
      </c>
      <c r="F57" s="34" t="s">
        <v>2104</v>
      </c>
      <c r="G57" s="34" t="s">
        <v>2105</v>
      </c>
      <c r="H57" s="34" t="s">
        <v>2106</v>
      </c>
      <c r="I57" s="33" t="s">
        <v>84</v>
      </c>
      <c r="J57" s="34" t="s">
        <v>2107</v>
      </c>
      <c r="K57" s="35"/>
      <c r="L57" s="34" t="s">
        <v>1732</v>
      </c>
      <c r="M57" s="35" t="s">
        <v>29</v>
      </c>
      <c r="N57" s="34" t="s">
        <v>2108</v>
      </c>
      <c r="O57" s="35" t="s">
        <v>164</v>
      </c>
      <c r="P57" s="35" t="s">
        <v>2109</v>
      </c>
      <c r="Q57" s="2"/>
    </row>
    <row r="58" spans="1:17" ht="409.6" customHeight="1" x14ac:dyDescent="0.25">
      <c r="A58" s="33">
        <v>56</v>
      </c>
      <c r="B58" s="34" t="s">
        <v>2110</v>
      </c>
      <c r="C58" s="35"/>
      <c r="D58" s="34" t="s">
        <v>2111</v>
      </c>
      <c r="E58" s="34" t="s">
        <v>2112</v>
      </c>
      <c r="F58" s="34" t="s">
        <v>2113</v>
      </c>
      <c r="G58" s="34" t="s">
        <v>2114</v>
      </c>
      <c r="H58" s="34" t="s">
        <v>2115</v>
      </c>
      <c r="I58" s="33" t="s">
        <v>84</v>
      </c>
      <c r="J58" s="34" t="s">
        <v>2116</v>
      </c>
      <c r="K58" s="35"/>
      <c r="L58" s="34" t="s">
        <v>1804</v>
      </c>
      <c r="M58" s="35" t="s">
        <v>29</v>
      </c>
      <c r="N58" s="34" t="s">
        <v>2117</v>
      </c>
      <c r="O58" s="35" t="s">
        <v>164</v>
      </c>
      <c r="P58" s="35" t="s">
        <v>2109</v>
      </c>
      <c r="Q58" s="2"/>
    </row>
    <row r="59" spans="1:17" ht="409.6" customHeight="1" x14ac:dyDescent="0.25">
      <c r="A59" s="33">
        <v>57</v>
      </c>
      <c r="B59" s="34" t="s">
        <v>2118</v>
      </c>
      <c r="C59" s="35"/>
      <c r="D59" s="34" t="s">
        <v>2119</v>
      </c>
      <c r="E59" s="34" t="s">
        <v>2120</v>
      </c>
      <c r="F59" s="34" t="s">
        <v>2121</v>
      </c>
      <c r="G59" s="34" t="s">
        <v>2122</v>
      </c>
      <c r="H59" s="34" t="s">
        <v>2123</v>
      </c>
      <c r="I59" s="33">
        <v>2</v>
      </c>
      <c r="J59" s="34" t="s">
        <v>2124</v>
      </c>
      <c r="K59" s="35"/>
      <c r="L59" s="34" t="s">
        <v>1645</v>
      </c>
      <c r="M59" s="35" t="s">
        <v>29</v>
      </c>
      <c r="N59" s="34" t="s">
        <v>2125</v>
      </c>
      <c r="O59" s="35" t="s">
        <v>164</v>
      </c>
      <c r="P59" s="35" t="s">
        <v>2109</v>
      </c>
      <c r="Q59" s="2"/>
    </row>
    <row r="60" spans="1:17" ht="409.6" customHeight="1" x14ac:dyDescent="0.25">
      <c r="A60" s="33">
        <v>58</v>
      </c>
      <c r="B60" s="34" t="s">
        <v>2126</v>
      </c>
      <c r="C60" s="35"/>
      <c r="D60" s="34" t="s">
        <v>2127</v>
      </c>
      <c r="E60" s="34" t="s">
        <v>2128</v>
      </c>
      <c r="F60" s="34" t="s">
        <v>2129</v>
      </c>
      <c r="G60" s="34" t="s">
        <v>2130</v>
      </c>
      <c r="H60" s="34" t="s">
        <v>2131</v>
      </c>
      <c r="I60" s="33">
        <v>2</v>
      </c>
      <c r="J60" s="34" t="s">
        <v>2132</v>
      </c>
      <c r="K60" s="35"/>
      <c r="L60" s="34" t="s">
        <v>1645</v>
      </c>
      <c r="M60" s="35" t="s">
        <v>29</v>
      </c>
      <c r="N60" s="34" t="s">
        <v>2133</v>
      </c>
      <c r="O60" s="35" t="s">
        <v>164</v>
      </c>
      <c r="P60" s="35" t="s">
        <v>2109</v>
      </c>
      <c r="Q60" s="2"/>
    </row>
    <row r="61" spans="1:17" ht="409.6" customHeight="1" x14ac:dyDescent="0.25">
      <c r="A61" s="33">
        <v>59</v>
      </c>
      <c r="B61" s="34" t="s">
        <v>2134</v>
      </c>
      <c r="C61" s="35"/>
      <c r="D61" s="34" t="s">
        <v>2135</v>
      </c>
      <c r="E61" s="34" t="s">
        <v>2136</v>
      </c>
      <c r="F61" s="34" t="s">
        <v>2137</v>
      </c>
      <c r="G61" s="34" t="s">
        <v>2138</v>
      </c>
      <c r="H61" s="34" t="s">
        <v>2139</v>
      </c>
      <c r="I61" s="33">
        <v>5</v>
      </c>
      <c r="J61" s="34" t="s">
        <v>2140</v>
      </c>
      <c r="K61" s="35"/>
      <c r="L61" s="34" t="s">
        <v>1645</v>
      </c>
      <c r="M61" s="35" t="s">
        <v>29</v>
      </c>
      <c r="N61" s="34" t="s">
        <v>2141</v>
      </c>
      <c r="O61" s="35" t="s">
        <v>164</v>
      </c>
      <c r="P61" s="35" t="s">
        <v>2109</v>
      </c>
      <c r="Q61" s="2"/>
    </row>
    <row r="62" spans="1:17" ht="409.6" customHeight="1" x14ac:dyDescent="0.25">
      <c r="A62" s="33">
        <v>60</v>
      </c>
      <c r="B62" s="34" t="s">
        <v>2142</v>
      </c>
      <c r="C62" s="35"/>
      <c r="D62" s="34" t="s">
        <v>2143</v>
      </c>
      <c r="E62" s="34" t="s">
        <v>2144</v>
      </c>
      <c r="F62" s="34" t="s">
        <v>2145</v>
      </c>
      <c r="G62" s="34" t="s">
        <v>2146</v>
      </c>
      <c r="H62" s="34" t="s">
        <v>2147</v>
      </c>
      <c r="I62" s="33" t="s">
        <v>84</v>
      </c>
      <c r="J62" s="34" t="s">
        <v>2148</v>
      </c>
      <c r="K62" s="35"/>
      <c r="L62" s="34" t="s">
        <v>1804</v>
      </c>
      <c r="M62" s="35" t="s">
        <v>29</v>
      </c>
      <c r="N62" s="34" t="s">
        <v>2149</v>
      </c>
      <c r="O62" s="35" t="s">
        <v>164</v>
      </c>
      <c r="P62" s="35" t="s">
        <v>2109</v>
      </c>
      <c r="Q62" s="2"/>
    </row>
    <row r="63" spans="1:17" ht="409.6" customHeight="1" x14ac:dyDescent="0.25">
      <c r="A63" s="33">
        <v>61</v>
      </c>
      <c r="B63" s="34" t="s">
        <v>2150</v>
      </c>
      <c r="C63" s="35"/>
      <c r="D63" s="34" t="s">
        <v>440</v>
      </c>
      <c r="E63" s="34" t="s">
        <v>2151</v>
      </c>
      <c r="F63" s="34" t="s">
        <v>1214</v>
      </c>
      <c r="G63" s="34" t="s">
        <v>2152</v>
      </c>
      <c r="H63" s="34" t="s">
        <v>1216</v>
      </c>
      <c r="I63" s="33" t="s">
        <v>84</v>
      </c>
      <c r="J63" s="34" t="s">
        <v>2153</v>
      </c>
      <c r="K63" s="35"/>
      <c r="L63" s="34" t="s">
        <v>1645</v>
      </c>
      <c r="M63" s="35" t="s">
        <v>29</v>
      </c>
      <c r="N63" s="34" t="s">
        <v>2154</v>
      </c>
      <c r="O63" s="35" t="s">
        <v>164</v>
      </c>
      <c r="P63" s="35" t="s">
        <v>2155</v>
      </c>
      <c r="Q63" s="2"/>
    </row>
    <row r="64" spans="1:17" ht="409.6" customHeight="1" x14ac:dyDescent="0.25">
      <c r="A64" s="33">
        <v>62</v>
      </c>
      <c r="B64" s="34" t="s">
        <v>2156</v>
      </c>
      <c r="C64" s="35"/>
      <c r="D64" s="34" t="s">
        <v>2157</v>
      </c>
      <c r="E64" s="34" t="s">
        <v>2158</v>
      </c>
      <c r="F64" s="34" t="s">
        <v>2077</v>
      </c>
      <c r="G64" s="34" t="s">
        <v>2159</v>
      </c>
      <c r="H64" s="34" t="s">
        <v>2160</v>
      </c>
      <c r="I64" s="33" t="s">
        <v>84</v>
      </c>
      <c r="J64" s="34" t="s">
        <v>2161</v>
      </c>
      <c r="K64" s="35"/>
      <c r="L64" s="34" t="s">
        <v>1645</v>
      </c>
      <c r="M64" s="35" t="s">
        <v>29</v>
      </c>
      <c r="N64" s="34" t="s">
        <v>2162</v>
      </c>
      <c r="O64" s="35" t="s">
        <v>164</v>
      </c>
      <c r="P64" s="35" t="s">
        <v>2155</v>
      </c>
      <c r="Q64" s="2"/>
    </row>
    <row r="65" spans="1:17" ht="409.6" customHeight="1" x14ac:dyDescent="0.25">
      <c r="A65" s="33">
        <v>63</v>
      </c>
      <c r="B65" s="34" t="s">
        <v>2163</v>
      </c>
      <c r="C65" s="35"/>
      <c r="D65" s="34" t="s">
        <v>693</v>
      </c>
      <c r="E65" s="34" t="s">
        <v>2164</v>
      </c>
      <c r="F65" s="34" t="s">
        <v>2165</v>
      </c>
      <c r="G65" s="34" t="s">
        <v>2166</v>
      </c>
      <c r="H65" s="34" t="s">
        <v>2167</v>
      </c>
      <c r="I65" s="33" t="s">
        <v>84</v>
      </c>
      <c r="J65" s="34" t="s">
        <v>2168</v>
      </c>
      <c r="K65" s="35"/>
      <c r="L65" s="34" t="s">
        <v>1645</v>
      </c>
      <c r="M65" s="35" t="s">
        <v>29</v>
      </c>
      <c r="N65" s="34" t="s">
        <v>2169</v>
      </c>
      <c r="O65" s="35" t="s">
        <v>164</v>
      </c>
      <c r="P65" s="35" t="s">
        <v>2155</v>
      </c>
      <c r="Q65" s="2"/>
    </row>
    <row r="66" spans="1:17" ht="409.6" customHeight="1" x14ac:dyDescent="0.25">
      <c r="A66" s="33">
        <v>64</v>
      </c>
      <c r="B66" s="34" t="s">
        <v>2170</v>
      </c>
      <c r="C66" s="35"/>
      <c r="D66" s="34" t="s">
        <v>1699</v>
      </c>
      <c r="E66" s="34" t="s">
        <v>1703</v>
      </c>
      <c r="F66" s="34" t="s">
        <v>2171</v>
      </c>
      <c r="G66" s="34" t="s">
        <v>2172</v>
      </c>
      <c r="H66" s="34" t="s">
        <v>1701</v>
      </c>
      <c r="I66" s="33" t="s">
        <v>84</v>
      </c>
      <c r="J66" s="34" t="s">
        <v>2173</v>
      </c>
      <c r="K66" s="35"/>
      <c r="L66" s="34" t="s">
        <v>1645</v>
      </c>
      <c r="M66" s="35" t="s">
        <v>29</v>
      </c>
      <c r="N66" s="34" t="s">
        <v>2174</v>
      </c>
      <c r="O66" s="35" t="s">
        <v>164</v>
      </c>
      <c r="P66" s="35" t="s">
        <v>2155</v>
      </c>
      <c r="Q66" s="2"/>
    </row>
    <row r="67" spans="1:17" ht="409.6" customHeight="1" x14ac:dyDescent="0.25">
      <c r="A67" s="33">
        <v>65</v>
      </c>
      <c r="B67" s="34" t="s">
        <v>2175</v>
      </c>
      <c r="C67" s="35"/>
      <c r="D67" s="34" t="s">
        <v>2176</v>
      </c>
      <c r="E67" s="34" t="s">
        <v>2177</v>
      </c>
      <c r="F67" s="34" t="s">
        <v>2178</v>
      </c>
      <c r="G67" s="34" t="s">
        <v>2179</v>
      </c>
      <c r="H67" s="34" t="s">
        <v>2180</v>
      </c>
      <c r="I67" s="33" t="s">
        <v>84</v>
      </c>
      <c r="J67" s="34" t="s">
        <v>2181</v>
      </c>
      <c r="K67" s="35"/>
      <c r="L67" s="34" t="s">
        <v>1645</v>
      </c>
      <c r="M67" s="35" t="s">
        <v>29</v>
      </c>
      <c r="N67" s="34" t="s">
        <v>2182</v>
      </c>
      <c r="O67" s="35" t="s">
        <v>164</v>
      </c>
      <c r="P67" s="35" t="s">
        <v>2155</v>
      </c>
      <c r="Q67" s="2"/>
    </row>
    <row r="68" spans="1:17" ht="409.6" customHeight="1" x14ac:dyDescent="0.25">
      <c r="A68" s="33">
        <v>66</v>
      </c>
      <c r="B68" s="34" t="s">
        <v>2183</v>
      </c>
      <c r="C68" s="35"/>
      <c r="D68" s="34" t="s">
        <v>2184</v>
      </c>
      <c r="E68" s="34" t="s">
        <v>2185</v>
      </c>
      <c r="F68" s="34" t="s">
        <v>2186</v>
      </c>
      <c r="G68" s="34" t="s">
        <v>2187</v>
      </c>
      <c r="H68" s="34" t="s">
        <v>2188</v>
      </c>
      <c r="I68" s="33" t="s">
        <v>84</v>
      </c>
      <c r="J68" s="34" t="s">
        <v>2189</v>
      </c>
      <c r="K68" s="35"/>
      <c r="L68" s="34" t="s">
        <v>1645</v>
      </c>
      <c r="M68" s="35" t="s">
        <v>29</v>
      </c>
      <c r="N68" s="34" t="s">
        <v>2190</v>
      </c>
      <c r="O68" s="35" t="s">
        <v>164</v>
      </c>
      <c r="P68" s="35" t="s">
        <v>2155</v>
      </c>
      <c r="Q68" s="2"/>
    </row>
    <row r="69" spans="1:17" ht="409.6" customHeight="1" x14ac:dyDescent="0.25">
      <c r="A69" s="33">
        <v>67</v>
      </c>
      <c r="B69" s="34" t="s">
        <v>2191</v>
      </c>
      <c r="C69" s="35"/>
      <c r="D69" s="34" t="s">
        <v>2192</v>
      </c>
      <c r="E69" s="34" t="s">
        <v>2193</v>
      </c>
      <c r="F69" s="34" t="s">
        <v>2194</v>
      </c>
      <c r="G69" s="34" t="s">
        <v>190</v>
      </c>
      <c r="H69" s="34" t="s">
        <v>2195</v>
      </c>
      <c r="I69" s="33" t="s">
        <v>84</v>
      </c>
      <c r="J69" s="34" t="s">
        <v>2196</v>
      </c>
      <c r="K69" s="35"/>
      <c r="L69" s="34" t="s">
        <v>1645</v>
      </c>
      <c r="M69" s="35" t="s">
        <v>29</v>
      </c>
      <c r="N69" s="34" t="s">
        <v>2197</v>
      </c>
      <c r="O69" s="35" t="s">
        <v>164</v>
      </c>
      <c r="P69" s="35" t="s">
        <v>2155</v>
      </c>
      <c r="Q69" s="2"/>
    </row>
    <row r="70" spans="1:17" ht="409.6" customHeight="1" x14ac:dyDescent="0.25">
      <c r="A70" s="33">
        <v>68</v>
      </c>
      <c r="B70" s="34" t="s">
        <v>2198</v>
      </c>
      <c r="C70" s="35"/>
      <c r="D70" s="34" t="s">
        <v>2199</v>
      </c>
      <c r="E70" s="34" t="s">
        <v>2200</v>
      </c>
      <c r="F70" s="34" t="s">
        <v>2201</v>
      </c>
      <c r="G70" s="34" t="s">
        <v>2202</v>
      </c>
      <c r="H70" s="34" t="s">
        <v>2203</v>
      </c>
      <c r="I70" s="33" t="s">
        <v>84</v>
      </c>
      <c r="J70" s="34" t="s">
        <v>2204</v>
      </c>
      <c r="K70" s="35"/>
      <c r="L70" s="34" t="s">
        <v>1645</v>
      </c>
      <c r="M70" s="35" t="s">
        <v>29</v>
      </c>
      <c r="N70" s="34" t="s">
        <v>2205</v>
      </c>
      <c r="O70" s="35" t="s">
        <v>164</v>
      </c>
      <c r="P70" s="35" t="s">
        <v>2206</v>
      </c>
    </row>
    <row r="71" spans="1:17" ht="409.6" customHeight="1" x14ac:dyDescent="0.25">
      <c r="A71" s="33">
        <v>69</v>
      </c>
      <c r="B71" s="34" t="s">
        <v>2207</v>
      </c>
      <c r="C71" s="35"/>
      <c r="D71" s="34" t="s">
        <v>2208</v>
      </c>
      <c r="E71" s="34" t="s">
        <v>2209</v>
      </c>
      <c r="F71" s="34" t="s">
        <v>2210</v>
      </c>
      <c r="G71" s="34" t="s">
        <v>2211</v>
      </c>
      <c r="H71" s="34" t="s">
        <v>2212</v>
      </c>
      <c r="I71" s="33" t="s">
        <v>84</v>
      </c>
      <c r="J71" s="34" t="s">
        <v>2213</v>
      </c>
      <c r="K71" s="35"/>
      <c r="L71" s="34" t="s">
        <v>1645</v>
      </c>
      <c r="M71" s="35" t="s">
        <v>29</v>
      </c>
      <c r="N71" s="34" t="s">
        <v>2214</v>
      </c>
      <c r="O71" s="35" t="s">
        <v>164</v>
      </c>
      <c r="P71" s="35" t="s">
        <v>2206</v>
      </c>
    </row>
    <row r="72" spans="1:17" ht="409.6" customHeight="1" x14ac:dyDescent="0.25">
      <c r="A72" s="33">
        <v>70</v>
      </c>
      <c r="B72" s="34" t="s">
        <v>2215</v>
      </c>
      <c r="C72" s="35"/>
      <c r="D72" s="34" t="s">
        <v>2216</v>
      </c>
      <c r="E72" s="34" t="s">
        <v>2217</v>
      </c>
      <c r="F72" s="34" t="s">
        <v>2218</v>
      </c>
      <c r="G72" s="34" t="s">
        <v>2219</v>
      </c>
      <c r="H72" s="34" t="s">
        <v>2220</v>
      </c>
      <c r="I72" s="33" t="s">
        <v>84</v>
      </c>
      <c r="J72" s="34" t="s">
        <v>2221</v>
      </c>
      <c r="K72" s="35"/>
      <c r="L72" s="34" t="s">
        <v>1645</v>
      </c>
      <c r="M72" s="35" t="s">
        <v>29</v>
      </c>
      <c r="N72" s="34" t="s">
        <v>2222</v>
      </c>
      <c r="O72" s="35" t="s">
        <v>164</v>
      </c>
      <c r="P72" s="35" t="s">
        <v>2206</v>
      </c>
    </row>
    <row r="73" spans="1:17" ht="409.6" customHeight="1" x14ac:dyDescent="0.25">
      <c r="A73" s="33">
        <v>71</v>
      </c>
      <c r="B73" s="34" t="s">
        <v>2223</v>
      </c>
      <c r="C73" s="35"/>
      <c r="D73" s="34" t="s">
        <v>586</v>
      </c>
      <c r="E73" s="34" t="s">
        <v>2224</v>
      </c>
      <c r="F73" s="34" t="s">
        <v>2225</v>
      </c>
      <c r="G73" s="34" t="s">
        <v>1889</v>
      </c>
      <c r="H73" s="34" t="s">
        <v>2226</v>
      </c>
      <c r="I73" s="33" t="s">
        <v>84</v>
      </c>
      <c r="J73" s="34" t="s">
        <v>2227</v>
      </c>
      <c r="K73" s="35"/>
      <c r="L73" s="34" t="s">
        <v>1645</v>
      </c>
      <c r="M73" s="35" t="s">
        <v>29</v>
      </c>
      <c r="N73" s="34" t="s">
        <v>2228</v>
      </c>
      <c r="O73" s="35" t="s">
        <v>164</v>
      </c>
      <c r="P73" s="35" t="s">
        <v>2206</v>
      </c>
    </row>
    <row r="74" spans="1:17" ht="409.6" customHeight="1" x14ac:dyDescent="0.25">
      <c r="A74" s="33">
        <v>72</v>
      </c>
      <c r="B74" s="34" t="s">
        <v>2229</v>
      </c>
      <c r="C74" s="35"/>
      <c r="D74" s="34" t="s">
        <v>2230</v>
      </c>
      <c r="E74" s="34" t="s">
        <v>2231</v>
      </c>
      <c r="F74" s="34" t="s">
        <v>2232</v>
      </c>
      <c r="G74" s="34" t="s">
        <v>2233</v>
      </c>
      <c r="H74" s="34" t="s">
        <v>2234</v>
      </c>
      <c r="I74" s="33" t="s">
        <v>84</v>
      </c>
      <c r="J74" s="34" t="s">
        <v>2235</v>
      </c>
      <c r="K74" s="35"/>
      <c r="L74" s="34" t="s">
        <v>1645</v>
      </c>
      <c r="M74" s="35" t="s">
        <v>29</v>
      </c>
      <c r="N74" s="34" t="s">
        <v>2236</v>
      </c>
      <c r="O74" s="35" t="s">
        <v>164</v>
      </c>
      <c r="P74" s="35" t="s">
        <v>2206</v>
      </c>
    </row>
    <row r="75" spans="1:17" ht="409.6" customHeight="1" x14ac:dyDescent="0.25">
      <c r="A75" s="33">
        <v>73</v>
      </c>
      <c r="B75" s="34" t="s">
        <v>2237</v>
      </c>
      <c r="C75" s="35"/>
      <c r="D75" s="34" t="s">
        <v>733</v>
      </c>
      <c r="E75" s="34" t="s">
        <v>2238</v>
      </c>
      <c r="F75" s="34" t="s">
        <v>2239</v>
      </c>
      <c r="G75" s="34" t="s">
        <v>442</v>
      </c>
      <c r="H75" s="34" t="s">
        <v>622</v>
      </c>
      <c r="I75" s="33" t="s">
        <v>84</v>
      </c>
      <c r="J75" s="34" t="s">
        <v>2240</v>
      </c>
      <c r="K75" s="35"/>
      <c r="L75" s="34" t="s">
        <v>1645</v>
      </c>
      <c r="M75" s="35" t="s">
        <v>29</v>
      </c>
      <c r="N75" s="34" t="s">
        <v>2241</v>
      </c>
      <c r="O75" s="35" t="s">
        <v>164</v>
      </c>
      <c r="P75" s="35" t="s">
        <v>2206</v>
      </c>
    </row>
    <row r="76" spans="1:17" ht="409.6" customHeight="1" x14ac:dyDescent="0.25">
      <c r="A76" s="33">
        <v>74</v>
      </c>
      <c r="B76" s="34" t="s">
        <v>2242</v>
      </c>
      <c r="C76" s="35"/>
      <c r="D76" s="34" t="s">
        <v>2243</v>
      </c>
      <c r="E76" s="34" t="s">
        <v>2244</v>
      </c>
      <c r="F76" s="34" t="s">
        <v>2245</v>
      </c>
      <c r="G76" s="34" t="s">
        <v>2246</v>
      </c>
      <c r="H76" s="34" t="s">
        <v>2247</v>
      </c>
      <c r="I76" s="33" t="s">
        <v>84</v>
      </c>
      <c r="J76" s="34" t="s">
        <v>2248</v>
      </c>
      <c r="K76" s="35"/>
      <c r="L76" s="34" t="s">
        <v>1645</v>
      </c>
      <c r="M76" s="35" t="s">
        <v>29</v>
      </c>
      <c r="N76" s="34" t="s">
        <v>2228</v>
      </c>
      <c r="O76" s="35" t="s">
        <v>164</v>
      </c>
      <c r="P76" s="35" t="s">
        <v>2206</v>
      </c>
    </row>
    <row r="77" spans="1:17" ht="409.6" customHeight="1" x14ac:dyDescent="0.25">
      <c r="A77" s="33">
        <v>75</v>
      </c>
      <c r="B77" s="34" t="s">
        <v>2249</v>
      </c>
      <c r="C77" s="35"/>
      <c r="D77" s="34" t="s">
        <v>2250</v>
      </c>
      <c r="E77" s="34" t="s">
        <v>2251</v>
      </c>
      <c r="F77" s="34" t="s">
        <v>2252</v>
      </c>
      <c r="G77" s="34" t="s">
        <v>2253</v>
      </c>
      <c r="H77" s="34" t="s">
        <v>2254</v>
      </c>
      <c r="I77" s="33" t="s">
        <v>84</v>
      </c>
      <c r="J77" s="34" t="s">
        <v>2255</v>
      </c>
      <c r="K77" s="35"/>
      <c r="L77" s="34" t="s">
        <v>1645</v>
      </c>
      <c r="M77" s="35" t="s">
        <v>29</v>
      </c>
      <c r="N77" s="34" t="s">
        <v>2214</v>
      </c>
      <c r="O77" s="35" t="s">
        <v>164</v>
      </c>
      <c r="P77" s="35" t="s">
        <v>2206</v>
      </c>
    </row>
    <row r="78" spans="1:17" ht="409.6" customHeight="1" x14ac:dyDescent="0.25">
      <c r="A78" s="33">
        <v>76</v>
      </c>
      <c r="B78" s="34" t="s">
        <v>2256</v>
      </c>
      <c r="C78" s="35"/>
      <c r="D78" s="34" t="s">
        <v>2257</v>
      </c>
      <c r="E78" s="34" t="s">
        <v>2258</v>
      </c>
      <c r="F78" s="34" t="s">
        <v>2259</v>
      </c>
      <c r="G78" s="34" t="s">
        <v>2260</v>
      </c>
      <c r="H78" s="34" t="s">
        <v>2261</v>
      </c>
      <c r="I78" s="33" t="s">
        <v>84</v>
      </c>
      <c r="J78" s="34" t="s">
        <v>2262</v>
      </c>
      <c r="K78" s="35"/>
      <c r="L78" s="34" t="s">
        <v>1645</v>
      </c>
      <c r="M78" s="35" t="s">
        <v>29</v>
      </c>
      <c r="N78" s="34" t="s">
        <v>2263</v>
      </c>
      <c r="O78" s="35" t="s">
        <v>164</v>
      </c>
      <c r="P78" s="35" t="s">
        <v>2206</v>
      </c>
    </row>
    <row r="79" spans="1:17" ht="409.6" customHeight="1" x14ac:dyDescent="0.25">
      <c r="A79" s="33">
        <v>77</v>
      </c>
      <c r="B79" s="34" t="s">
        <v>2264</v>
      </c>
      <c r="C79" s="35"/>
      <c r="D79" s="34" t="s">
        <v>2265</v>
      </c>
      <c r="E79" s="34" t="s">
        <v>2266</v>
      </c>
      <c r="F79" s="34" t="s">
        <v>2267</v>
      </c>
      <c r="G79" s="34" t="s">
        <v>2268</v>
      </c>
      <c r="H79" s="34" t="s">
        <v>2269</v>
      </c>
      <c r="I79" s="33" t="s">
        <v>84</v>
      </c>
      <c r="J79" s="34" t="s">
        <v>2270</v>
      </c>
      <c r="K79" s="35"/>
      <c r="L79" s="34" t="s">
        <v>1645</v>
      </c>
      <c r="M79" s="35" t="s">
        <v>29</v>
      </c>
      <c r="N79" s="34" t="s">
        <v>2222</v>
      </c>
      <c r="O79" s="35" t="s">
        <v>164</v>
      </c>
      <c r="P79" s="35" t="s">
        <v>2271</v>
      </c>
    </row>
    <row r="80" spans="1:17" ht="409.6" customHeight="1" x14ac:dyDescent="0.25">
      <c r="A80" s="33">
        <v>78</v>
      </c>
      <c r="B80" s="34" t="s">
        <v>2272</v>
      </c>
      <c r="C80" s="35"/>
      <c r="D80" s="34" t="s">
        <v>1889</v>
      </c>
      <c r="E80" s="34" t="s">
        <v>2273</v>
      </c>
      <c r="F80" s="34" t="s">
        <v>2274</v>
      </c>
      <c r="G80" s="34" t="s">
        <v>2275</v>
      </c>
      <c r="H80" s="34" t="s">
        <v>2276</v>
      </c>
      <c r="I80" s="33" t="s">
        <v>84</v>
      </c>
      <c r="J80" s="34" t="s">
        <v>2277</v>
      </c>
      <c r="K80" s="35"/>
      <c r="L80" s="34" t="s">
        <v>1645</v>
      </c>
      <c r="M80" s="35" t="s">
        <v>29</v>
      </c>
      <c r="N80" s="34" t="s">
        <v>2278</v>
      </c>
      <c r="O80" s="35" t="s">
        <v>164</v>
      </c>
      <c r="P80" s="35" t="s">
        <v>2271</v>
      </c>
    </row>
    <row r="81" spans="1:16" ht="409.6" customHeight="1" x14ac:dyDescent="0.25">
      <c r="A81" s="33">
        <v>79</v>
      </c>
      <c r="B81" s="34" t="s">
        <v>2279</v>
      </c>
      <c r="C81" s="35"/>
      <c r="D81" s="34" t="s">
        <v>733</v>
      </c>
      <c r="E81" s="34" t="s">
        <v>2238</v>
      </c>
      <c r="F81" s="34" t="s">
        <v>2239</v>
      </c>
      <c r="G81" s="34" t="s">
        <v>442</v>
      </c>
      <c r="H81" s="34" t="s">
        <v>622</v>
      </c>
      <c r="I81" s="33" t="s">
        <v>84</v>
      </c>
      <c r="J81" s="34" t="s">
        <v>2280</v>
      </c>
      <c r="K81" s="35"/>
      <c r="L81" s="34" t="s">
        <v>1645</v>
      </c>
      <c r="M81" s="35" t="s">
        <v>29</v>
      </c>
      <c r="N81" s="34" t="s">
        <v>2281</v>
      </c>
      <c r="O81" s="35" t="s">
        <v>164</v>
      </c>
      <c r="P81" s="35" t="s">
        <v>2271</v>
      </c>
    </row>
    <row r="82" spans="1:16" ht="409.6" customHeight="1" x14ac:dyDescent="0.25">
      <c r="A82" s="33">
        <v>80</v>
      </c>
      <c r="B82" s="34" t="s">
        <v>2282</v>
      </c>
      <c r="C82" s="35"/>
      <c r="D82" s="34" t="s">
        <v>2243</v>
      </c>
      <c r="E82" s="34" t="s">
        <v>2244</v>
      </c>
      <c r="F82" s="34" t="s">
        <v>2245</v>
      </c>
      <c r="G82" s="34" t="s">
        <v>2246</v>
      </c>
      <c r="H82" s="34" t="s">
        <v>2247</v>
      </c>
      <c r="I82" s="33" t="s">
        <v>84</v>
      </c>
      <c r="J82" s="34" t="s">
        <v>2283</v>
      </c>
      <c r="K82" s="35"/>
      <c r="L82" s="34" t="s">
        <v>1645</v>
      </c>
      <c r="M82" s="35" t="s">
        <v>29</v>
      </c>
      <c r="N82" s="34" t="s">
        <v>2284</v>
      </c>
      <c r="O82" s="35" t="s">
        <v>164</v>
      </c>
      <c r="P82" s="35" t="s">
        <v>2271</v>
      </c>
    </row>
    <row r="83" spans="1:16" ht="409.6" customHeight="1" x14ac:dyDescent="0.25">
      <c r="A83" s="33">
        <v>81</v>
      </c>
      <c r="B83" s="34" t="s">
        <v>2285</v>
      </c>
      <c r="C83" s="35"/>
      <c r="D83" s="34" t="s">
        <v>2286</v>
      </c>
      <c r="E83" s="34" t="s">
        <v>2287</v>
      </c>
      <c r="F83" s="34" t="s">
        <v>2288</v>
      </c>
      <c r="G83" s="34" t="s">
        <v>2289</v>
      </c>
      <c r="H83" s="34" t="s">
        <v>2290</v>
      </c>
      <c r="I83" s="33" t="s">
        <v>84</v>
      </c>
      <c r="J83" s="34" t="s">
        <v>2291</v>
      </c>
      <c r="K83" s="35"/>
      <c r="L83" s="34" t="s">
        <v>1645</v>
      </c>
      <c r="M83" s="35" t="s">
        <v>29</v>
      </c>
      <c r="N83" s="34" t="s">
        <v>2292</v>
      </c>
      <c r="O83" s="35" t="s">
        <v>164</v>
      </c>
      <c r="P83" s="35" t="s">
        <v>2271</v>
      </c>
    </row>
    <row r="84" spans="1:16" ht="409.6" customHeight="1" x14ac:dyDescent="0.25">
      <c r="A84" s="33">
        <v>82</v>
      </c>
      <c r="B84" s="34" t="s">
        <v>2293</v>
      </c>
      <c r="C84" s="35"/>
      <c r="D84" s="34" t="s">
        <v>2294</v>
      </c>
      <c r="E84" s="34" t="s">
        <v>2295</v>
      </c>
      <c r="F84" s="34" t="s">
        <v>2296</v>
      </c>
      <c r="G84" s="34" t="s">
        <v>2297</v>
      </c>
      <c r="H84" s="34" t="s">
        <v>2298</v>
      </c>
      <c r="I84" s="33" t="s">
        <v>84</v>
      </c>
      <c r="J84" s="34" t="s">
        <v>2299</v>
      </c>
      <c r="K84" s="35"/>
      <c r="L84" s="34" t="s">
        <v>1645</v>
      </c>
      <c r="M84" s="35" t="s">
        <v>29</v>
      </c>
      <c r="N84" s="34" t="s">
        <v>2300</v>
      </c>
      <c r="O84" s="35" t="s">
        <v>164</v>
      </c>
      <c r="P84" s="35" t="s">
        <v>2271</v>
      </c>
    </row>
    <row r="85" spans="1:16" ht="409.6" customHeight="1" x14ac:dyDescent="0.25">
      <c r="A85" s="33">
        <v>83</v>
      </c>
      <c r="B85" s="34" t="s">
        <v>2301</v>
      </c>
      <c r="C85" s="35"/>
      <c r="D85" s="34" t="s">
        <v>2302</v>
      </c>
      <c r="E85" s="34" t="s">
        <v>2303</v>
      </c>
      <c r="F85" s="34" t="s">
        <v>2304</v>
      </c>
      <c r="G85" s="34" t="s">
        <v>2305</v>
      </c>
      <c r="H85" s="34" t="s">
        <v>2306</v>
      </c>
      <c r="I85" s="33" t="s">
        <v>84</v>
      </c>
      <c r="J85" s="34" t="s">
        <v>2307</v>
      </c>
      <c r="K85" s="35"/>
      <c r="L85" s="34" t="s">
        <v>1645</v>
      </c>
      <c r="M85" s="35" t="s">
        <v>29</v>
      </c>
      <c r="N85" s="34" t="s">
        <v>2308</v>
      </c>
      <c r="O85" s="35" t="s">
        <v>164</v>
      </c>
      <c r="P85" s="35" t="s">
        <v>2271</v>
      </c>
    </row>
    <row r="86" spans="1:16" ht="409.6" customHeight="1" x14ac:dyDescent="0.25">
      <c r="A86" s="33">
        <v>84</v>
      </c>
      <c r="B86" s="34" t="s">
        <v>2309</v>
      </c>
      <c r="C86" s="35"/>
      <c r="D86" s="34" t="s">
        <v>2310</v>
      </c>
      <c r="E86" s="34" t="s">
        <v>2311</v>
      </c>
      <c r="F86" s="34" t="s">
        <v>2312</v>
      </c>
      <c r="G86" s="34" t="s">
        <v>2313</v>
      </c>
      <c r="H86" s="34" t="s">
        <v>2314</v>
      </c>
      <c r="I86" s="33" t="s">
        <v>84</v>
      </c>
      <c r="J86" s="34" t="s">
        <v>2315</v>
      </c>
      <c r="K86" s="35"/>
      <c r="L86" s="34" t="s">
        <v>1645</v>
      </c>
      <c r="M86" s="35" t="s">
        <v>29</v>
      </c>
      <c r="N86" s="34" t="s">
        <v>2316</v>
      </c>
      <c r="O86" s="35" t="s">
        <v>164</v>
      </c>
      <c r="P86" s="35" t="s">
        <v>2317</v>
      </c>
    </row>
    <row r="87" spans="1:16" ht="409.6" customHeight="1" x14ac:dyDescent="0.25">
      <c r="A87" s="33">
        <v>85</v>
      </c>
      <c r="B87" s="34" t="s">
        <v>2318</v>
      </c>
      <c r="C87" s="35"/>
      <c r="D87" s="34" t="s">
        <v>2319</v>
      </c>
      <c r="E87" s="34" t="s">
        <v>2320</v>
      </c>
      <c r="F87" s="34" t="s">
        <v>2321</v>
      </c>
      <c r="G87" s="34" t="s">
        <v>2322</v>
      </c>
      <c r="H87" s="34" t="s">
        <v>2323</v>
      </c>
      <c r="I87" s="33" t="s">
        <v>84</v>
      </c>
      <c r="J87" s="34" t="s">
        <v>2324</v>
      </c>
      <c r="K87" s="35"/>
      <c r="L87" s="34" t="s">
        <v>1645</v>
      </c>
      <c r="M87" s="35" t="s">
        <v>29</v>
      </c>
      <c r="N87" s="34" t="s">
        <v>2325</v>
      </c>
      <c r="O87" s="35" t="s">
        <v>164</v>
      </c>
      <c r="P87" s="35" t="s">
        <v>2317</v>
      </c>
    </row>
    <row r="88" spans="1:16" ht="409.6" customHeight="1" x14ac:dyDescent="0.25">
      <c r="A88" s="33">
        <v>86</v>
      </c>
      <c r="B88" s="34" t="s">
        <v>2326</v>
      </c>
      <c r="C88" s="35"/>
      <c r="D88" s="34" t="s">
        <v>1912</v>
      </c>
      <c r="E88" s="34" t="s">
        <v>2327</v>
      </c>
      <c r="F88" s="34" t="s">
        <v>1806</v>
      </c>
      <c r="G88" s="34" t="s">
        <v>2328</v>
      </c>
      <c r="H88" s="34" t="s">
        <v>2329</v>
      </c>
      <c r="I88" s="33" t="s">
        <v>84</v>
      </c>
      <c r="J88" s="34" t="s">
        <v>2330</v>
      </c>
      <c r="K88" s="35"/>
      <c r="L88" s="34" t="s">
        <v>1645</v>
      </c>
      <c r="M88" s="35" t="s">
        <v>29</v>
      </c>
      <c r="N88" s="34" t="s">
        <v>2331</v>
      </c>
      <c r="O88" s="35" t="s">
        <v>164</v>
      </c>
      <c r="P88" s="35" t="s">
        <v>2317</v>
      </c>
    </row>
    <row r="89" spans="1:16" ht="409.6" customHeight="1" x14ac:dyDescent="0.25">
      <c r="A89" s="33">
        <v>87</v>
      </c>
      <c r="B89" s="34" t="s">
        <v>2332</v>
      </c>
      <c r="C89" s="35"/>
      <c r="D89" s="34" t="s">
        <v>2333</v>
      </c>
      <c r="E89" s="34" t="s">
        <v>2334</v>
      </c>
      <c r="F89" s="34" t="s">
        <v>2335</v>
      </c>
      <c r="G89" s="34" t="s">
        <v>2336</v>
      </c>
      <c r="H89" s="34" t="s">
        <v>2337</v>
      </c>
      <c r="I89" s="33" t="s">
        <v>84</v>
      </c>
      <c r="J89" s="34" t="s">
        <v>2338</v>
      </c>
      <c r="K89" s="35"/>
      <c r="L89" s="34" t="s">
        <v>1645</v>
      </c>
      <c r="M89" s="35" t="s">
        <v>29</v>
      </c>
      <c r="N89" s="34" t="s">
        <v>2339</v>
      </c>
      <c r="O89" s="35" t="s">
        <v>164</v>
      </c>
      <c r="P89" s="35" t="s">
        <v>2317</v>
      </c>
    </row>
    <row r="90" spans="1:16" ht="409.6" customHeight="1" x14ac:dyDescent="0.25">
      <c r="A90" s="33">
        <v>88</v>
      </c>
      <c r="B90" s="34" t="s">
        <v>2340</v>
      </c>
      <c r="C90" s="35"/>
      <c r="D90" s="34" t="s">
        <v>1699</v>
      </c>
      <c r="E90" s="34" t="s">
        <v>1703</v>
      </c>
      <c r="F90" s="34" t="s">
        <v>1700</v>
      </c>
      <c r="G90" s="34" t="s">
        <v>2171</v>
      </c>
      <c r="H90" s="34" t="s">
        <v>1702</v>
      </c>
      <c r="I90" s="33" t="s">
        <v>84</v>
      </c>
      <c r="J90" s="34" t="s">
        <v>2341</v>
      </c>
      <c r="K90" s="35"/>
      <c r="L90" s="34" t="s">
        <v>1645</v>
      </c>
      <c r="M90" s="35" t="s">
        <v>29</v>
      </c>
      <c r="N90" s="34" t="s">
        <v>2342</v>
      </c>
      <c r="O90" s="35" t="s">
        <v>164</v>
      </c>
      <c r="P90" s="35" t="s">
        <v>2317</v>
      </c>
    </row>
    <row r="91" spans="1:16" ht="409.6" customHeight="1" x14ac:dyDescent="0.25">
      <c r="A91" s="33">
        <v>89</v>
      </c>
      <c r="B91" s="34" t="s">
        <v>2343</v>
      </c>
      <c r="C91" s="35"/>
      <c r="D91" s="34" t="s">
        <v>1713</v>
      </c>
      <c r="E91" s="34" t="s">
        <v>2344</v>
      </c>
      <c r="F91" s="34" t="s">
        <v>2345</v>
      </c>
      <c r="G91" s="34" t="s">
        <v>2346</v>
      </c>
      <c r="H91" s="34" t="s">
        <v>2347</v>
      </c>
      <c r="I91" s="33" t="s">
        <v>84</v>
      </c>
      <c r="J91" s="34" t="s">
        <v>2348</v>
      </c>
      <c r="K91" s="35"/>
      <c r="L91" s="34" t="s">
        <v>1645</v>
      </c>
      <c r="M91" s="35" t="s">
        <v>29</v>
      </c>
      <c r="N91" s="34" t="s">
        <v>2349</v>
      </c>
      <c r="O91" s="35" t="s">
        <v>164</v>
      </c>
      <c r="P91" s="35" t="s">
        <v>2317</v>
      </c>
    </row>
    <row r="92" spans="1:16" ht="409.6" customHeight="1" x14ac:dyDescent="0.25">
      <c r="A92" s="33">
        <v>90</v>
      </c>
      <c r="B92" s="34" t="s">
        <v>2350</v>
      </c>
      <c r="C92" s="35"/>
      <c r="D92" s="34" t="s">
        <v>559</v>
      </c>
      <c r="E92" s="34" t="s">
        <v>539</v>
      </c>
      <c r="F92" s="34" t="s">
        <v>158</v>
      </c>
      <c r="G92" s="34" t="s">
        <v>459</v>
      </c>
      <c r="H92" s="34" t="s">
        <v>560</v>
      </c>
      <c r="I92" s="33" t="s">
        <v>84</v>
      </c>
      <c r="J92" s="34" t="s">
        <v>2351</v>
      </c>
      <c r="K92" s="35"/>
      <c r="L92" s="34" t="s">
        <v>1645</v>
      </c>
      <c r="M92" s="35" t="s">
        <v>29</v>
      </c>
      <c r="N92" s="34" t="s">
        <v>2352</v>
      </c>
      <c r="O92" s="35" t="s">
        <v>164</v>
      </c>
      <c r="P92" s="35" t="s">
        <v>2317</v>
      </c>
    </row>
    <row r="93" spans="1:16" ht="409.6" customHeight="1" x14ac:dyDescent="0.25">
      <c r="A93" s="33">
        <v>91</v>
      </c>
      <c r="B93" s="34" t="s">
        <v>2353</v>
      </c>
      <c r="C93" s="35"/>
      <c r="D93" s="34" t="s">
        <v>2172</v>
      </c>
      <c r="E93" s="34" t="s">
        <v>1703</v>
      </c>
      <c r="F93" s="34" t="s">
        <v>1699</v>
      </c>
      <c r="G93" s="34" t="s">
        <v>1701</v>
      </c>
      <c r="H93" s="34" t="s">
        <v>2354</v>
      </c>
      <c r="I93" s="33" t="s">
        <v>84</v>
      </c>
      <c r="J93" s="34" t="s">
        <v>2355</v>
      </c>
      <c r="K93" s="35"/>
      <c r="L93" s="34" t="s">
        <v>1645</v>
      </c>
      <c r="M93" s="35" t="s">
        <v>29</v>
      </c>
      <c r="N93" s="34" t="s">
        <v>2356</v>
      </c>
      <c r="O93" s="35" t="s">
        <v>164</v>
      </c>
      <c r="P93" s="35" t="s">
        <v>2317</v>
      </c>
    </row>
    <row r="94" spans="1:16" ht="409.6" customHeight="1" x14ac:dyDescent="0.25">
      <c r="A94" s="33">
        <v>92</v>
      </c>
      <c r="B94" s="34" t="s">
        <v>2357</v>
      </c>
      <c r="C94" s="35"/>
      <c r="D94" s="34" t="s">
        <v>1889</v>
      </c>
      <c r="E94" s="34" t="s">
        <v>424</v>
      </c>
      <c r="F94" s="34" t="s">
        <v>2358</v>
      </c>
      <c r="G94" s="34" t="s">
        <v>2359</v>
      </c>
      <c r="H94" s="34" t="s">
        <v>532</v>
      </c>
      <c r="I94" s="33" t="s">
        <v>84</v>
      </c>
      <c r="J94" s="34" t="s">
        <v>2360</v>
      </c>
      <c r="K94" s="35"/>
      <c r="L94" s="34" t="s">
        <v>1645</v>
      </c>
      <c r="M94" s="35" t="s">
        <v>29</v>
      </c>
      <c r="N94" s="34" t="s">
        <v>2361</v>
      </c>
      <c r="O94" s="35" t="s">
        <v>164</v>
      </c>
      <c r="P94" s="35" t="s">
        <v>2317</v>
      </c>
    </row>
    <row r="95" spans="1:16" ht="409.6" customHeight="1" x14ac:dyDescent="0.25">
      <c r="A95" s="33">
        <v>93</v>
      </c>
      <c r="B95" s="34" t="s">
        <v>2362</v>
      </c>
      <c r="C95" s="35"/>
      <c r="D95" s="34" t="s">
        <v>1960</v>
      </c>
      <c r="E95" s="34" t="s">
        <v>442</v>
      </c>
      <c r="F95" s="34" t="s">
        <v>2180</v>
      </c>
      <c r="G95" s="34" t="s">
        <v>2363</v>
      </c>
      <c r="H95" s="34" t="s">
        <v>738</v>
      </c>
      <c r="I95" s="33" t="s">
        <v>84</v>
      </c>
      <c r="J95" s="34" t="s">
        <v>2364</v>
      </c>
      <c r="K95" s="35"/>
      <c r="L95" s="34" t="s">
        <v>1645</v>
      </c>
      <c r="M95" s="35" t="s">
        <v>29</v>
      </c>
      <c r="N95" s="34" t="s">
        <v>2365</v>
      </c>
      <c r="O95" s="35" t="s">
        <v>164</v>
      </c>
      <c r="P95" s="35" t="s">
        <v>2317</v>
      </c>
    </row>
    <row r="96" spans="1:16" ht="409.6" customHeight="1" x14ac:dyDescent="0.25">
      <c r="A96" s="33">
        <v>94</v>
      </c>
      <c r="B96" s="34" t="s">
        <v>2366</v>
      </c>
      <c r="C96" s="35"/>
      <c r="D96" s="34" t="s">
        <v>2367</v>
      </c>
      <c r="E96" s="34" t="s">
        <v>2368</v>
      </c>
      <c r="F96" s="34" t="s">
        <v>2369</v>
      </c>
      <c r="G96" s="34" t="s">
        <v>2370</v>
      </c>
      <c r="H96" s="34" t="s">
        <v>2371</v>
      </c>
      <c r="I96" s="33" t="s">
        <v>84</v>
      </c>
      <c r="J96" s="34" t="s">
        <v>2372</v>
      </c>
      <c r="K96" s="35"/>
      <c r="L96" s="34" t="s">
        <v>1645</v>
      </c>
      <c r="M96" s="35" t="s">
        <v>29</v>
      </c>
      <c r="N96" s="34" t="s">
        <v>2373</v>
      </c>
      <c r="O96" s="35" t="s">
        <v>164</v>
      </c>
      <c r="P96" s="35" t="s">
        <v>2317</v>
      </c>
    </row>
    <row r="97" spans="1:16" ht="409.6" customHeight="1" x14ac:dyDescent="0.25">
      <c r="A97" s="33">
        <v>95</v>
      </c>
      <c r="B97" s="34" t="s">
        <v>2374</v>
      </c>
      <c r="C97" s="35"/>
      <c r="D97" s="34" t="s">
        <v>2375</v>
      </c>
      <c r="E97" s="34" t="s">
        <v>2376</v>
      </c>
      <c r="F97" s="34" t="s">
        <v>2377</v>
      </c>
      <c r="G97" s="34" t="s">
        <v>2378</v>
      </c>
      <c r="H97" s="34" t="s">
        <v>2379</v>
      </c>
      <c r="I97" s="33" t="s">
        <v>84</v>
      </c>
      <c r="J97" s="34" t="s">
        <v>2380</v>
      </c>
      <c r="K97" s="35"/>
      <c r="L97" s="34" t="s">
        <v>1645</v>
      </c>
      <c r="M97" s="35" t="s">
        <v>29</v>
      </c>
      <c r="N97" s="34" t="s">
        <v>2381</v>
      </c>
      <c r="O97" s="35" t="s">
        <v>164</v>
      </c>
      <c r="P97" s="35" t="s">
        <v>2317</v>
      </c>
    </row>
    <row r="98" spans="1:16" ht="409.6" customHeight="1" x14ac:dyDescent="0.25">
      <c r="A98" s="33">
        <v>96</v>
      </c>
      <c r="B98" s="34" t="s">
        <v>2382</v>
      </c>
      <c r="C98" s="35"/>
      <c r="D98" s="34" t="s">
        <v>443</v>
      </c>
      <c r="E98" s="34" t="s">
        <v>1214</v>
      </c>
      <c r="F98" s="34" t="s">
        <v>2383</v>
      </c>
      <c r="G98" s="34" t="s">
        <v>738</v>
      </c>
      <c r="H98" s="34" t="s">
        <v>441</v>
      </c>
      <c r="I98" s="33" t="s">
        <v>84</v>
      </c>
      <c r="J98" s="34" t="s">
        <v>2384</v>
      </c>
      <c r="K98" s="35"/>
      <c r="L98" s="34" t="s">
        <v>1645</v>
      </c>
      <c r="M98" s="35" t="s">
        <v>29</v>
      </c>
      <c r="N98" s="34" t="s">
        <v>2385</v>
      </c>
      <c r="O98" s="35" t="s">
        <v>164</v>
      </c>
      <c r="P98" s="35" t="s">
        <v>2317</v>
      </c>
    </row>
    <row r="99" spans="1:16" ht="409.6" customHeight="1" x14ac:dyDescent="0.25">
      <c r="A99" s="33">
        <v>97</v>
      </c>
      <c r="B99" s="34" t="s">
        <v>2386</v>
      </c>
      <c r="C99" s="35"/>
      <c r="D99" s="34" t="s">
        <v>1868</v>
      </c>
      <c r="E99" s="34" t="s">
        <v>738</v>
      </c>
      <c r="F99" s="34" t="s">
        <v>1215</v>
      </c>
      <c r="G99" s="34" t="s">
        <v>442</v>
      </c>
      <c r="H99" s="34" t="s">
        <v>1695</v>
      </c>
      <c r="I99" s="33" t="s">
        <v>84</v>
      </c>
      <c r="J99" s="34" t="s">
        <v>2387</v>
      </c>
      <c r="K99" s="35"/>
      <c r="L99" s="34" t="s">
        <v>1645</v>
      </c>
      <c r="M99" s="35" t="s">
        <v>29</v>
      </c>
      <c r="N99" s="34" t="s">
        <v>2388</v>
      </c>
      <c r="O99" s="35" t="s">
        <v>164</v>
      </c>
      <c r="P99" s="35" t="s">
        <v>2317</v>
      </c>
    </row>
    <row r="100" spans="1:16" ht="409.6" customHeight="1" x14ac:dyDescent="0.25">
      <c r="A100" s="33">
        <v>98</v>
      </c>
      <c r="B100" s="34" t="s">
        <v>2389</v>
      </c>
      <c r="C100" s="35"/>
      <c r="D100" s="34" t="s">
        <v>2390</v>
      </c>
      <c r="E100" s="34" t="s">
        <v>2391</v>
      </c>
      <c r="F100" s="34" t="s">
        <v>737</v>
      </c>
      <c r="G100" s="34" t="s">
        <v>2254</v>
      </c>
      <c r="H100" s="34" t="s">
        <v>2392</v>
      </c>
      <c r="I100" s="33" t="s">
        <v>84</v>
      </c>
      <c r="J100" s="34" t="s">
        <v>2393</v>
      </c>
      <c r="K100" s="35"/>
      <c r="L100" s="34" t="s">
        <v>1645</v>
      </c>
      <c r="M100" s="35" t="s">
        <v>29</v>
      </c>
      <c r="N100" s="34" t="s">
        <v>2394</v>
      </c>
      <c r="O100" s="35" t="s">
        <v>164</v>
      </c>
      <c r="P100" s="35" t="s">
        <v>2317</v>
      </c>
    </row>
    <row r="101" spans="1:16" ht="409.6" customHeight="1" x14ac:dyDescent="0.25">
      <c r="A101" s="33">
        <v>99</v>
      </c>
      <c r="B101" s="34" t="s">
        <v>2395</v>
      </c>
      <c r="C101" s="35"/>
      <c r="D101" s="34" t="s">
        <v>559</v>
      </c>
      <c r="E101" s="34" t="s">
        <v>539</v>
      </c>
      <c r="F101" s="34" t="s">
        <v>158</v>
      </c>
      <c r="G101" s="34" t="s">
        <v>629</v>
      </c>
      <c r="H101" s="34" t="s">
        <v>630</v>
      </c>
      <c r="I101" s="33" t="s">
        <v>84</v>
      </c>
      <c r="J101" s="34" t="s">
        <v>2396</v>
      </c>
      <c r="K101" s="35"/>
      <c r="L101" s="34" t="s">
        <v>1645</v>
      </c>
      <c r="M101" s="35" t="s">
        <v>29</v>
      </c>
      <c r="N101" s="34" t="s">
        <v>2397</v>
      </c>
      <c r="O101" s="35" t="s">
        <v>164</v>
      </c>
      <c r="P101" s="35" t="s">
        <v>2317</v>
      </c>
    </row>
    <row r="102" spans="1:16" ht="409.6" customHeight="1" x14ac:dyDescent="0.25">
      <c r="A102" s="33">
        <v>100</v>
      </c>
      <c r="B102" s="34" t="s">
        <v>2398</v>
      </c>
      <c r="C102" s="35"/>
      <c r="D102" s="34" t="s">
        <v>2399</v>
      </c>
      <c r="E102" s="34" t="s">
        <v>2400</v>
      </c>
      <c r="F102" s="34" t="s">
        <v>2401</v>
      </c>
      <c r="G102" s="34" t="s">
        <v>2402</v>
      </c>
      <c r="H102" s="34" t="s">
        <v>2403</v>
      </c>
      <c r="I102" s="33" t="s">
        <v>84</v>
      </c>
      <c r="J102" s="34" t="s">
        <v>2404</v>
      </c>
      <c r="K102" s="35"/>
      <c r="L102" s="34" t="s">
        <v>1645</v>
      </c>
      <c r="M102" s="35" t="s">
        <v>29</v>
      </c>
      <c r="N102" s="34" t="s">
        <v>2405</v>
      </c>
      <c r="O102" s="35" t="s">
        <v>164</v>
      </c>
      <c r="P102" s="35" t="s">
        <v>2317</v>
      </c>
    </row>
    <row r="103" spans="1:16" ht="409.6" customHeight="1" x14ac:dyDescent="0.25">
      <c r="A103" s="33">
        <v>101</v>
      </c>
      <c r="B103" s="34" t="s">
        <v>2406</v>
      </c>
      <c r="C103" s="35"/>
      <c r="D103" s="34" t="s">
        <v>2001</v>
      </c>
      <c r="E103" s="34" t="s">
        <v>2407</v>
      </c>
      <c r="F103" s="34" t="s">
        <v>2408</v>
      </c>
      <c r="G103" s="34" t="s">
        <v>2409</v>
      </c>
      <c r="H103" s="34" t="s">
        <v>2005</v>
      </c>
      <c r="I103" s="33" t="s">
        <v>84</v>
      </c>
      <c r="J103" s="34" t="s">
        <v>2410</v>
      </c>
      <c r="K103" s="35"/>
      <c r="L103" s="34" t="s">
        <v>1645</v>
      </c>
      <c r="M103" s="35" t="s">
        <v>29</v>
      </c>
      <c r="N103" s="34" t="s">
        <v>2411</v>
      </c>
      <c r="O103" s="35" t="s">
        <v>164</v>
      </c>
      <c r="P103" s="35" t="s">
        <v>2317</v>
      </c>
    </row>
    <row r="104" spans="1:16" ht="409.6" customHeight="1" x14ac:dyDescent="0.25">
      <c r="A104" s="33">
        <v>102</v>
      </c>
      <c r="B104" s="34" t="s">
        <v>2412</v>
      </c>
      <c r="C104" s="35"/>
      <c r="D104" s="34" t="s">
        <v>2413</v>
      </c>
      <c r="E104" s="34" t="s">
        <v>2414</v>
      </c>
      <c r="F104" s="34" t="s">
        <v>2415</v>
      </c>
      <c r="G104" s="34" t="s">
        <v>2416</v>
      </c>
      <c r="H104" s="34" t="s">
        <v>2417</v>
      </c>
      <c r="I104" s="33" t="s">
        <v>84</v>
      </c>
      <c r="J104" s="34" t="s">
        <v>2418</v>
      </c>
      <c r="K104" s="35"/>
      <c r="L104" s="34" t="s">
        <v>1645</v>
      </c>
      <c r="M104" s="35" t="s">
        <v>29</v>
      </c>
      <c r="N104" s="34" t="s">
        <v>2419</v>
      </c>
      <c r="O104" s="35" t="s">
        <v>164</v>
      </c>
      <c r="P104" s="35" t="s">
        <v>2317</v>
      </c>
    </row>
    <row r="105" spans="1:16" ht="409.6" customHeight="1" x14ac:dyDescent="0.25">
      <c r="A105" s="33">
        <v>103</v>
      </c>
      <c r="B105" s="34" t="s">
        <v>2420</v>
      </c>
      <c r="C105" s="35"/>
      <c r="D105" s="34" t="s">
        <v>2421</v>
      </c>
      <c r="E105" s="34" t="s">
        <v>2422</v>
      </c>
      <c r="F105" s="34" t="s">
        <v>2423</v>
      </c>
      <c r="G105" s="34" t="s">
        <v>2424</v>
      </c>
      <c r="H105" s="34" t="s">
        <v>2425</v>
      </c>
      <c r="I105" s="33" t="s">
        <v>84</v>
      </c>
      <c r="J105" s="34" t="s">
        <v>2426</v>
      </c>
      <c r="K105" s="35"/>
      <c r="L105" s="34" t="s">
        <v>1645</v>
      </c>
      <c r="M105" s="35" t="s">
        <v>29</v>
      </c>
      <c r="N105" s="34" t="s">
        <v>2427</v>
      </c>
      <c r="O105" s="35" t="s">
        <v>164</v>
      </c>
      <c r="P105" s="35" t="s">
        <v>2317</v>
      </c>
    </row>
    <row r="106" spans="1:16" ht="409.6" customHeight="1" x14ac:dyDescent="0.25">
      <c r="A106" s="33">
        <v>104</v>
      </c>
      <c r="B106" s="34" t="s">
        <v>2428</v>
      </c>
      <c r="C106" s="35"/>
      <c r="D106" s="34" t="s">
        <v>2429</v>
      </c>
      <c r="E106" s="34" t="s">
        <v>2430</v>
      </c>
      <c r="F106" s="34" t="s">
        <v>2431</v>
      </c>
      <c r="G106" s="34" t="s">
        <v>2432</v>
      </c>
      <c r="H106" s="34" t="s">
        <v>2433</v>
      </c>
      <c r="I106" s="33" t="s">
        <v>84</v>
      </c>
      <c r="J106" s="34" t="s">
        <v>2434</v>
      </c>
      <c r="K106" s="35"/>
      <c r="L106" s="34" t="s">
        <v>1645</v>
      </c>
      <c r="M106" s="35" t="s">
        <v>29</v>
      </c>
      <c r="N106" s="34" t="s">
        <v>2435</v>
      </c>
      <c r="O106" s="35" t="s">
        <v>164</v>
      </c>
      <c r="P106" s="35" t="s">
        <v>2436</v>
      </c>
    </row>
    <row r="107" spans="1:16" ht="409.6" customHeight="1" x14ac:dyDescent="0.25">
      <c r="A107" s="33">
        <v>105</v>
      </c>
      <c r="B107" s="34" t="s">
        <v>2437</v>
      </c>
      <c r="C107" s="35"/>
      <c r="D107" s="34" t="s">
        <v>2438</v>
      </c>
      <c r="E107" s="34" t="s">
        <v>2439</v>
      </c>
      <c r="F107" s="34" t="s">
        <v>2440</v>
      </c>
      <c r="G107" s="34" t="s">
        <v>2441</v>
      </c>
      <c r="H107" s="34" t="s">
        <v>2442</v>
      </c>
      <c r="I107" s="33" t="s">
        <v>84</v>
      </c>
      <c r="J107" s="34" t="s">
        <v>2443</v>
      </c>
      <c r="K107" s="35"/>
      <c r="L107" s="34" t="s">
        <v>1645</v>
      </c>
      <c r="M107" s="35" t="s">
        <v>29</v>
      </c>
      <c r="N107" s="34" t="s">
        <v>2444</v>
      </c>
      <c r="O107" s="35" t="s">
        <v>164</v>
      </c>
      <c r="P107" s="35" t="s">
        <v>2436</v>
      </c>
    </row>
    <row r="108" spans="1:16" ht="409.6" customHeight="1" x14ac:dyDescent="0.25">
      <c r="A108" s="33">
        <v>106</v>
      </c>
      <c r="B108" s="34" t="s">
        <v>2445</v>
      </c>
      <c r="C108" s="35"/>
      <c r="D108" s="34" t="s">
        <v>2001</v>
      </c>
      <c r="E108" s="34" t="s">
        <v>2446</v>
      </c>
      <c r="F108" s="34" t="s">
        <v>2447</v>
      </c>
      <c r="G108" s="34" t="s">
        <v>2448</v>
      </c>
      <c r="H108" s="34" t="s">
        <v>2005</v>
      </c>
      <c r="I108" s="33" t="s">
        <v>84</v>
      </c>
      <c r="J108" s="34" t="s">
        <v>2449</v>
      </c>
      <c r="K108" s="35"/>
      <c r="L108" s="34" t="s">
        <v>1645</v>
      </c>
      <c r="M108" s="35" t="s">
        <v>29</v>
      </c>
      <c r="N108" s="34" t="s">
        <v>2450</v>
      </c>
      <c r="O108" s="35" t="s">
        <v>164</v>
      </c>
      <c r="P108" s="35" t="s">
        <v>2436</v>
      </c>
    </row>
    <row r="109" spans="1:16" ht="409.6" customHeight="1" x14ac:dyDescent="0.25">
      <c r="A109" s="33">
        <v>107</v>
      </c>
      <c r="B109" s="34" t="s">
        <v>2451</v>
      </c>
      <c r="C109" s="35"/>
      <c r="D109" s="34" t="s">
        <v>1215</v>
      </c>
      <c r="E109" s="34" t="s">
        <v>442</v>
      </c>
      <c r="F109" s="34" t="s">
        <v>1962</v>
      </c>
      <c r="G109" s="34" t="s">
        <v>1694</v>
      </c>
      <c r="H109" s="34" t="s">
        <v>2452</v>
      </c>
      <c r="I109" s="33" t="s">
        <v>84</v>
      </c>
      <c r="J109" s="34" t="s">
        <v>2453</v>
      </c>
      <c r="K109" s="35"/>
      <c r="L109" s="34" t="s">
        <v>1645</v>
      </c>
      <c r="M109" s="35" t="s">
        <v>29</v>
      </c>
      <c r="N109" s="34" t="s">
        <v>2454</v>
      </c>
      <c r="O109" s="35" t="s">
        <v>164</v>
      </c>
      <c r="P109" s="35" t="s">
        <v>2436</v>
      </c>
    </row>
    <row r="110" spans="1:16" ht="409.6" customHeight="1" x14ac:dyDescent="0.25">
      <c r="A110" s="33">
        <v>108</v>
      </c>
      <c r="B110" s="34" t="s">
        <v>2455</v>
      </c>
      <c r="C110" s="35"/>
      <c r="D110" s="34" t="s">
        <v>586</v>
      </c>
      <c r="E110" s="34" t="s">
        <v>2192</v>
      </c>
      <c r="F110" s="34" t="s">
        <v>2456</v>
      </c>
      <c r="G110" s="34" t="s">
        <v>2457</v>
      </c>
      <c r="H110" s="34" t="s">
        <v>2458</v>
      </c>
      <c r="I110" s="33" t="s">
        <v>84</v>
      </c>
      <c r="J110" s="34" t="s">
        <v>2459</v>
      </c>
      <c r="K110" s="35"/>
      <c r="L110" s="34" t="s">
        <v>1645</v>
      </c>
      <c r="M110" s="35" t="s">
        <v>29</v>
      </c>
      <c r="N110" s="34" t="s">
        <v>2460</v>
      </c>
      <c r="O110" s="35" t="s">
        <v>164</v>
      </c>
      <c r="P110" s="35" t="s">
        <v>2436</v>
      </c>
    </row>
    <row r="111" spans="1:16" ht="409.6" customHeight="1" x14ac:dyDescent="0.25">
      <c r="A111" s="33">
        <v>109</v>
      </c>
      <c r="B111" s="34" t="s">
        <v>2461</v>
      </c>
      <c r="C111" s="35"/>
      <c r="D111" s="34" t="s">
        <v>333</v>
      </c>
      <c r="E111" s="34" t="s">
        <v>1806</v>
      </c>
      <c r="F111" s="34" t="s">
        <v>1259</v>
      </c>
      <c r="G111" s="34" t="s">
        <v>1130</v>
      </c>
      <c r="H111" s="34" t="s">
        <v>1260</v>
      </c>
      <c r="I111" s="33" t="s">
        <v>84</v>
      </c>
      <c r="J111" s="34" t="s">
        <v>2462</v>
      </c>
      <c r="K111" s="35"/>
      <c r="L111" s="34" t="s">
        <v>1645</v>
      </c>
      <c r="M111" s="35" t="s">
        <v>29</v>
      </c>
      <c r="N111" s="34" t="s">
        <v>2463</v>
      </c>
      <c r="O111" s="35" t="s">
        <v>164</v>
      </c>
      <c r="P111" s="35" t="s">
        <v>2436</v>
      </c>
    </row>
    <row r="112" spans="1:16" ht="409.6" customHeight="1" x14ac:dyDescent="0.25">
      <c r="A112" s="33">
        <v>110</v>
      </c>
      <c r="B112" s="34" t="s">
        <v>2464</v>
      </c>
      <c r="C112" s="35"/>
      <c r="D112" s="34" t="s">
        <v>2465</v>
      </c>
      <c r="E112" s="34" t="s">
        <v>383</v>
      </c>
      <c r="F112" s="34" t="s">
        <v>2466</v>
      </c>
      <c r="G112" s="34" t="s">
        <v>2467</v>
      </c>
      <c r="H112" s="34" t="s">
        <v>799</v>
      </c>
      <c r="I112" s="33" t="s">
        <v>84</v>
      </c>
      <c r="J112" s="34" t="s">
        <v>2468</v>
      </c>
      <c r="K112" s="35"/>
      <c r="L112" s="34" t="s">
        <v>1645</v>
      </c>
      <c r="M112" s="35" t="s">
        <v>29</v>
      </c>
      <c r="N112" s="34" t="s">
        <v>2469</v>
      </c>
      <c r="O112" s="35" t="s">
        <v>164</v>
      </c>
      <c r="P112" s="35" t="s">
        <v>2436</v>
      </c>
    </row>
    <row r="113" spans="1:16" ht="409.6" customHeight="1" x14ac:dyDescent="0.25">
      <c r="A113" s="33">
        <v>111</v>
      </c>
      <c r="B113" s="34" t="s">
        <v>2470</v>
      </c>
      <c r="C113" s="35"/>
      <c r="D113" s="34" t="s">
        <v>2471</v>
      </c>
      <c r="E113" s="34" t="s">
        <v>2472</v>
      </c>
      <c r="F113" s="34" t="s">
        <v>2473</v>
      </c>
      <c r="G113" s="34" t="s">
        <v>2474</v>
      </c>
      <c r="H113" s="34" t="s">
        <v>2475</v>
      </c>
      <c r="I113" s="33" t="s">
        <v>84</v>
      </c>
      <c r="J113" s="34" t="s">
        <v>2476</v>
      </c>
      <c r="K113" s="35"/>
      <c r="L113" s="34" t="s">
        <v>1645</v>
      </c>
      <c r="M113" s="35" t="s">
        <v>29</v>
      </c>
      <c r="N113" s="34" t="s">
        <v>2477</v>
      </c>
      <c r="O113" s="35" t="s">
        <v>164</v>
      </c>
      <c r="P113" s="35" t="s">
        <v>2436</v>
      </c>
    </row>
    <row r="114" spans="1:16" ht="409.6" customHeight="1" x14ac:dyDescent="0.25">
      <c r="A114" s="33">
        <v>112</v>
      </c>
      <c r="B114" s="34" t="s">
        <v>2478</v>
      </c>
      <c r="C114" s="35"/>
      <c r="D114" s="34" t="s">
        <v>2479</v>
      </c>
      <c r="E114" s="34" t="s">
        <v>2261</v>
      </c>
      <c r="F114" s="34" t="s">
        <v>2480</v>
      </c>
      <c r="G114" s="34" t="s">
        <v>2097</v>
      </c>
      <c r="H114" s="34" t="s">
        <v>2481</v>
      </c>
      <c r="I114" s="33" t="s">
        <v>84</v>
      </c>
      <c r="J114" s="34" t="s">
        <v>2482</v>
      </c>
      <c r="K114" s="35"/>
      <c r="L114" s="34" t="s">
        <v>1645</v>
      </c>
      <c r="M114" s="35" t="s">
        <v>29</v>
      </c>
      <c r="N114" s="34" t="s">
        <v>2483</v>
      </c>
      <c r="O114" s="35" t="s">
        <v>164</v>
      </c>
      <c r="P114" s="35" t="s">
        <v>2436</v>
      </c>
    </row>
    <row r="115" spans="1:16" ht="409.6" customHeight="1" x14ac:dyDescent="0.25">
      <c r="A115" s="33">
        <v>113</v>
      </c>
      <c r="B115" s="34" t="s">
        <v>2484</v>
      </c>
      <c r="C115" s="35"/>
      <c r="D115" s="34" t="s">
        <v>2485</v>
      </c>
      <c r="E115" s="34" t="s">
        <v>2486</v>
      </c>
      <c r="F115" s="34" t="s">
        <v>2487</v>
      </c>
      <c r="G115" s="34" t="s">
        <v>2488</v>
      </c>
      <c r="H115" s="34" t="s">
        <v>2488</v>
      </c>
      <c r="I115" s="33" t="s">
        <v>84</v>
      </c>
      <c r="J115" s="34" t="s">
        <v>2489</v>
      </c>
      <c r="K115" s="35"/>
      <c r="L115" s="34" t="s">
        <v>1645</v>
      </c>
      <c r="M115" s="35" t="s">
        <v>29</v>
      </c>
      <c r="N115" s="34" t="s">
        <v>2490</v>
      </c>
      <c r="O115" s="35" t="s">
        <v>164</v>
      </c>
      <c r="P115" s="35" t="s">
        <v>2436</v>
      </c>
    </row>
    <row r="116" spans="1:16" ht="409.6" customHeight="1" x14ac:dyDescent="0.25">
      <c r="A116" s="33">
        <v>114</v>
      </c>
      <c r="B116" s="34" t="s">
        <v>2491</v>
      </c>
      <c r="C116" s="35"/>
      <c r="D116" s="34" t="s">
        <v>2492</v>
      </c>
      <c r="E116" s="34" t="s">
        <v>2493</v>
      </c>
      <c r="F116" s="34" t="s">
        <v>2494</v>
      </c>
      <c r="G116" s="34" t="s">
        <v>2495</v>
      </c>
      <c r="H116" s="34" t="s">
        <v>2496</v>
      </c>
      <c r="I116" s="33" t="s">
        <v>84</v>
      </c>
      <c r="J116" s="34" t="s">
        <v>2497</v>
      </c>
      <c r="K116" s="35"/>
      <c r="L116" s="34" t="s">
        <v>1645</v>
      </c>
      <c r="M116" s="35" t="s">
        <v>29</v>
      </c>
      <c r="N116" s="34" t="s">
        <v>2498</v>
      </c>
      <c r="O116" s="35" t="s">
        <v>164</v>
      </c>
      <c r="P116" s="35" t="s">
        <v>2436</v>
      </c>
    </row>
    <row r="117" spans="1:16" ht="409.6" customHeight="1" x14ac:dyDescent="0.25">
      <c r="A117" s="33">
        <v>115</v>
      </c>
      <c r="B117" s="34" t="s">
        <v>2499</v>
      </c>
      <c r="C117" s="35"/>
      <c r="D117" s="34" t="s">
        <v>2500</v>
      </c>
      <c r="E117" s="34" t="s">
        <v>2501</v>
      </c>
      <c r="F117" s="34" t="s">
        <v>2502</v>
      </c>
      <c r="G117" s="34" t="s">
        <v>2503</v>
      </c>
      <c r="H117" s="34" t="s">
        <v>2504</v>
      </c>
      <c r="I117" s="33" t="s">
        <v>84</v>
      </c>
      <c r="J117" s="34" t="s">
        <v>2505</v>
      </c>
      <c r="K117" s="35"/>
      <c r="L117" s="34" t="s">
        <v>1645</v>
      </c>
      <c r="M117" s="35" t="s">
        <v>29</v>
      </c>
      <c r="N117" s="34" t="s">
        <v>2506</v>
      </c>
      <c r="O117" s="35" t="s">
        <v>164</v>
      </c>
      <c r="P117" s="35" t="s">
        <v>2436</v>
      </c>
    </row>
    <row r="118" spans="1:16" ht="409.6" customHeight="1" x14ac:dyDescent="0.25">
      <c r="A118" s="33">
        <v>116</v>
      </c>
      <c r="B118" s="34" t="s">
        <v>2507</v>
      </c>
      <c r="C118" s="35"/>
      <c r="D118" s="34" t="s">
        <v>2508</v>
      </c>
      <c r="E118" s="34" t="s">
        <v>2509</v>
      </c>
      <c r="F118" s="34" t="s">
        <v>2509</v>
      </c>
      <c r="G118" s="34" t="s">
        <v>2510</v>
      </c>
      <c r="H118" s="34" t="s">
        <v>2511</v>
      </c>
      <c r="I118" s="33" t="s">
        <v>84</v>
      </c>
      <c r="J118" s="34" t="s">
        <v>2512</v>
      </c>
      <c r="K118" s="35"/>
      <c r="L118" s="34" t="s">
        <v>1645</v>
      </c>
      <c r="M118" s="35" t="s">
        <v>29</v>
      </c>
      <c r="N118" s="34" t="s">
        <v>2513</v>
      </c>
      <c r="O118" s="35" t="s">
        <v>164</v>
      </c>
      <c r="P118" s="35" t="s">
        <v>2514</v>
      </c>
    </row>
    <row r="119" spans="1:16" ht="409.6" customHeight="1" x14ac:dyDescent="0.25">
      <c r="A119" s="33">
        <v>117</v>
      </c>
      <c r="B119" s="34" t="s">
        <v>2515</v>
      </c>
      <c r="C119" s="35"/>
      <c r="D119" s="34" t="s">
        <v>2516</v>
      </c>
      <c r="E119" s="34" t="s">
        <v>2517</v>
      </c>
      <c r="F119" s="34" t="s">
        <v>2518</v>
      </c>
      <c r="G119" s="34" t="s">
        <v>2519</v>
      </c>
      <c r="H119" s="34" t="s">
        <v>2520</v>
      </c>
      <c r="I119" s="33">
        <v>1</v>
      </c>
      <c r="J119" s="34" t="s">
        <v>2521</v>
      </c>
      <c r="K119" s="35"/>
      <c r="L119" s="34" t="s">
        <v>1645</v>
      </c>
      <c r="M119" s="35" t="s">
        <v>29</v>
      </c>
      <c r="N119" s="34" t="s">
        <v>2522</v>
      </c>
      <c r="O119" s="35" t="s">
        <v>164</v>
      </c>
      <c r="P119" s="35" t="s">
        <v>2514</v>
      </c>
    </row>
    <row r="120" spans="1:16" ht="409.6" customHeight="1" x14ac:dyDescent="0.25">
      <c r="A120" s="33">
        <v>118</v>
      </c>
      <c r="B120" s="34" t="s">
        <v>2523</v>
      </c>
      <c r="C120" s="35"/>
      <c r="D120" s="34" t="s">
        <v>2524</v>
      </c>
      <c r="E120" s="34" t="s">
        <v>2525</v>
      </c>
      <c r="F120" s="34" t="s">
        <v>2526</v>
      </c>
      <c r="G120" s="34" t="s">
        <v>2527</v>
      </c>
      <c r="H120" s="34" t="s">
        <v>2528</v>
      </c>
      <c r="I120" s="33" t="s">
        <v>90</v>
      </c>
      <c r="J120" s="34" t="s">
        <v>2529</v>
      </c>
      <c r="K120" s="35"/>
      <c r="L120" s="34" t="s">
        <v>1645</v>
      </c>
      <c r="M120" s="35" t="s">
        <v>29</v>
      </c>
      <c r="N120" s="34" t="s">
        <v>2530</v>
      </c>
      <c r="O120" s="35" t="s">
        <v>164</v>
      </c>
      <c r="P120" s="35" t="s">
        <v>2514</v>
      </c>
    </row>
    <row r="121" spans="1:16" ht="409.6" customHeight="1" x14ac:dyDescent="0.25">
      <c r="A121" s="33">
        <v>119</v>
      </c>
      <c r="B121" s="34" t="s">
        <v>2531</v>
      </c>
      <c r="C121" s="35"/>
      <c r="D121" s="34" t="s">
        <v>2532</v>
      </c>
      <c r="E121" s="34" t="s">
        <v>2533</v>
      </c>
      <c r="F121" s="34" t="s">
        <v>2534</v>
      </c>
      <c r="G121" s="34" t="s">
        <v>2265</v>
      </c>
      <c r="H121" s="34" t="s">
        <v>2535</v>
      </c>
      <c r="I121" s="33" t="s">
        <v>84</v>
      </c>
      <c r="J121" s="34" t="s">
        <v>2536</v>
      </c>
      <c r="K121" s="35"/>
      <c r="L121" s="34" t="s">
        <v>1645</v>
      </c>
      <c r="M121" s="35" t="s">
        <v>29</v>
      </c>
      <c r="N121" s="34" t="s">
        <v>2537</v>
      </c>
      <c r="O121" s="35" t="s">
        <v>164</v>
      </c>
      <c r="P121" s="35" t="s">
        <v>2514</v>
      </c>
    </row>
    <row r="122" spans="1:16" ht="409.6" customHeight="1" x14ac:dyDescent="0.25">
      <c r="A122" s="33">
        <v>120</v>
      </c>
      <c r="B122" s="34" t="s">
        <v>2538</v>
      </c>
      <c r="C122" s="35"/>
      <c r="D122" s="34" t="s">
        <v>1700</v>
      </c>
      <c r="E122" s="34" t="s">
        <v>1699</v>
      </c>
      <c r="F122" s="34" t="s">
        <v>2171</v>
      </c>
      <c r="G122" s="34" t="s">
        <v>1701</v>
      </c>
      <c r="H122" s="34" t="s">
        <v>1703</v>
      </c>
      <c r="I122" s="33" t="s">
        <v>84</v>
      </c>
      <c r="J122" s="34" t="s">
        <v>2539</v>
      </c>
      <c r="K122" s="35"/>
      <c r="L122" s="34" t="s">
        <v>1645</v>
      </c>
      <c r="M122" s="35" t="s">
        <v>29</v>
      </c>
      <c r="N122" s="34" t="s">
        <v>2540</v>
      </c>
      <c r="O122" s="35" t="s">
        <v>164</v>
      </c>
      <c r="P122" s="35" t="s">
        <v>2514</v>
      </c>
    </row>
    <row r="123" spans="1:16" ht="409.6" customHeight="1" x14ac:dyDescent="0.25">
      <c r="A123" s="33">
        <v>121</v>
      </c>
      <c r="B123" s="34" t="s">
        <v>2541</v>
      </c>
      <c r="C123" s="35"/>
      <c r="D123" s="34" t="s">
        <v>2542</v>
      </c>
      <c r="E123" s="34" t="s">
        <v>2543</v>
      </c>
      <c r="F123" s="34" t="s">
        <v>2544</v>
      </c>
      <c r="G123" s="34" t="s">
        <v>2545</v>
      </c>
      <c r="H123" s="34" t="s">
        <v>2546</v>
      </c>
      <c r="I123" s="33" t="s">
        <v>84</v>
      </c>
      <c r="J123" s="34" t="s">
        <v>2547</v>
      </c>
      <c r="K123" s="35"/>
      <c r="L123" s="34" t="s">
        <v>1645</v>
      </c>
      <c r="M123" s="35" t="s">
        <v>29</v>
      </c>
      <c r="N123" s="34" t="s">
        <v>2548</v>
      </c>
      <c r="O123" s="35" t="s">
        <v>164</v>
      </c>
      <c r="P123" s="35" t="s">
        <v>2514</v>
      </c>
    </row>
    <row r="124" spans="1:16" ht="409.6" customHeight="1" x14ac:dyDescent="0.25">
      <c r="A124" s="33">
        <v>122</v>
      </c>
      <c r="B124" s="34" t="s">
        <v>2549</v>
      </c>
      <c r="C124" s="35"/>
      <c r="D124" s="34" t="s">
        <v>2550</v>
      </c>
      <c r="E124" s="34" t="s">
        <v>2551</v>
      </c>
      <c r="F124" s="34" t="s">
        <v>2552</v>
      </c>
      <c r="G124" s="34" t="s">
        <v>2553</v>
      </c>
      <c r="H124" s="34" t="s">
        <v>2554</v>
      </c>
      <c r="I124" s="33" t="s">
        <v>84</v>
      </c>
      <c r="J124" s="34" t="s">
        <v>2555</v>
      </c>
      <c r="K124" s="35"/>
      <c r="L124" s="34" t="s">
        <v>1645</v>
      </c>
      <c r="M124" s="35" t="s">
        <v>29</v>
      </c>
      <c r="N124" s="34" t="s">
        <v>2556</v>
      </c>
      <c r="O124" s="35" t="s">
        <v>164</v>
      </c>
      <c r="P124" s="35" t="s">
        <v>2514</v>
      </c>
    </row>
    <row r="125" spans="1:16" ht="409.6" customHeight="1" x14ac:dyDescent="0.25">
      <c r="A125" s="33">
        <v>123</v>
      </c>
      <c r="B125" s="34" t="s">
        <v>2557</v>
      </c>
      <c r="C125" s="35"/>
      <c r="D125" s="34" t="s">
        <v>2543</v>
      </c>
      <c r="E125" s="34" t="s">
        <v>2558</v>
      </c>
      <c r="F125" s="34" t="s">
        <v>2559</v>
      </c>
      <c r="G125" s="34" t="s">
        <v>2560</v>
      </c>
      <c r="H125" s="34" t="s">
        <v>2561</v>
      </c>
      <c r="I125" s="33" t="s">
        <v>84</v>
      </c>
      <c r="J125" s="34" t="s">
        <v>2562</v>
      </c>
      <c r="K125" s="35"/>
      <c r="L125" s="34" t="s">
        <v>1645</v>
      </c>
      <c r="M125" s="35" t="s">
        <v>29</v>
      </c>
      <c r="N125" s="34" t="s">
        <v>2563</v>
      </c>
      <c r="O125" s="35" t="s">
        <v>164</v>
      </c>
      <c r="P125" s="35" t="s">
        <v>2514</v>
      </c>
    </row>
    <row r="126" spans="1:16" ht="409.6" customHeight="1" x14ac:dyDescent="0.25">
      <c r="A126" s="33">
        <v>124</v>
      </c>
      <c r="B126" s="34" t="s">
        <v>2564</v>
      </c>
      <c r="C126" s="35"/>
      <c r="D126" s="34" t="s">
        <v>2565</v>
      </c>
      <c r="E126" s="34" t="s">
        <v>2421</v>
      </c>
      <c r="F126" s="34" t="s">
        <v>2423</v>
      </c>
      <c r="G126" s="34" t="s">
        <v>2425</v>
      </c>
      <c r="H126" s="34" t="s">
        <v>2566</v>
      </c>
      <c r="I126" s="33" t="s">
        <v>84</v>
      </c>
      <c r="J126" s="34" t="s">
        <v>2567</v>
      </c>
      <c r="K126" s="35"/>
      <c r="L126" s="34" t="s">
        <v>1645</v>
      </c>
      <c r="M126" s="35" t="s">
        <v>29</v>
      </c>
      <c r="N126" s="34" t="s">
        <v>2537</v>
      </c>
      <c r="O126" s="35" t="s">
        <v>164</v>
      </c>
      <c r="P126" s="35" t="s">
        <v>2514</v>
      </c>
    </row>
    <row r="127" spans="1:16" ht="409.6" customHeight="1" x14ac:dyDescent="0.25">
      <c r="A127" s="33">
        <v>125</v>
      </c>
      <c r="B127" s="34" t="s">
        <v>2568</v>
      </c>
      <c r="C127" s="35"/>
      <c r="D127" s="34" t="s">
        <v>2569</v>
      </c>
      <c r="E127" s="34" t="s">
        <v>2570</v>
      </c>
      <c r="F127" s="34" t="s">
        <v>2571</v>
      </c>
      <c r="G127" s="34" t="s">
        <v>2572</v>
      </c>
      <c r="H127" s="34" t="s">
        <v>2573</v>
      </c>
      <c r="I127" s="33" t="s">
        <v>84</v>
      </c>
      <c r="J127" s="34" t="s">
        <v>2574</v>
      </c>
      <c r="K127" s="35"/>
      <c r="L127" s="34" t="s">
        <v>1645</v>
      </c>
      <c r="M127" s="35" t="s">
        <v>29</v>
      </c>
      <c r="N127" s="34" t="s">
        <v>2575</v>
      </c>
      <c r="O127" s="35" t="s">
        <v>164</v>
      </c>
      <c r="P127" s="35" t="s">
        <v>2514</v>
      </c>
    </row>
    <row r="128" spans="1:16" ht="409.6" customHeight="1" x14ac:dyDescent="0.25">
      <c r="A128" s="33">
        <v>126</v>
      </c>
      <c r="B128" s="34" t="s">
        <v>2576</v>
      </c>
      <c r="C128" s="35"/>
      <c r="D128" s="34" t="s">
        <v>2577</v>
      </c>
      <c r="E128" s="34" t="s">
        <v>2578</v>
      </c>
      <c r="F128" s="34" t="s">
        <v>2579</v>
      </c>
      <c r="G128" s="34" t="s">
        <v>2580</v>
      </c>
      <c r="H128" s="34" t="s">
        <v>2581</v>
      </c>
      <c r="I128" s="33" t="s">
        <v>84</v>
      </c>
      <c r="J128" s="34" t="s">
        <v>2582</v>
      </c>
      <c r="K128" s="35"/>
      <c r="L128" s="34" t="s">
        <v>1645</v>
      </c>
      <c r="M128" s="35" t="s">
        <v>29</v>
      </c>
      <c r="N128" s="34" t="s">
        <v>2540</v>
      </c>
      <c r="O128" s="35" t="s">
        <v>164</v>
      </c>
      <c r="P128" s="35" t="s">
        <v>2514</v>
      </c>
    </row>
    <row r="129" spans="1:16" ht="409.6" customHeight="1" x14ac:dyDescent="0.25">
      <c r="A129" s="33">
        <v>127</v>
      </c>
      <c r="B129" s="34" t="s">
        <v>2583</v>
      </c>
      <c r="C129" s="35"/>
      <c r="D129" s="34" t="s">
        <v>2584</v>
      </c>
      <c r="E129" s="34" t="s">
        <v>2585</v>
      </c>
      <c r="F129" s="34" t="s">
        <v>2586</v>
      </c>
      <c r="G129" s="34" t="s">
        <v>2587</v>
      </c>
      <c r="H129" s="34" t="s">
        <v>2588</v>
      </c>
      <c r="I129" s="33" t="s">
        <v>84</v>
      </c>
      <c r="J129" s="34" t="s">
        <v>2589</v>
      </c>
      <c r="K129" s="35"/>
      <c r="L129" s="34" t="s">
        <v>1645</v>
      </c>
      <c r="M129" s="35" t="s">
        <v>29</v>
      </c>
      <c r="N129" s="34" t="s">
        <v>2590</v>
      </c>
      <c r="O129" s="35" t="s">
        <v>164</v>
      </c>
      <c r="P129" s="35" t="s">
        <v>2514</v>
      </c>
    </row>
    <row r="130" spans="1:16" ht="409.6" customHeight="1" x14ac:dyDescent="0.25">
      <c r="A130" s="33">
        <v>128</v>
      </c>
      <c r="B130" s="34" t="s">
        <v>2591</v>
      </c>
      <c r="C130" s="35"/>
      <c r="D130" s="34" t="s">
        <v>2592</v>
      </c>
      <c r="E130" s="34" t="s">
        <v>2593</v>
      </c>
      <c r="F130" s="34" t="s">
        <v>2594</v>
      </c>
      <c r="G130" s="34" t="s">
        <v>2595</v>
      </c>
      <c r="H130" s="34" t="s">
        <v>2596</v>
      </c>
      <c r="I130" s="33" t="s">
        <v>84</v>
      </c>
      <c r="J130" s="34" t="s">
        <v>2597</v>
      </c>
      <c r="K130" s="35"/>
      <c r="L130" s="34" t="s">
        <v>1645</v>
      </c>
      <c r="M130" s="35" t="s">
        <v>29</v>
      </c>
      <c r="N130" s="34" t="s">
        <v>2556</v>
      </c>
      <c r="O130" s="35" t="s">
        <v>164</v>
      </c>
      <c r="P130" s="35" t="s">
        <v>2514</v>
      </c>
    </row>
    <row r="131" spans="1:16" ht="409.6" customHeight="1" x14ac:dyDescent="0.25">
      <c r="A131" s="33">
        <v>129</v>
      </c>
      <c r="B131" s="34" t="s">
        <v>2598</v>
      </c>
      <c r="C131" s="35"/>
      <c r="D131" s="34" t="s">
        <v>2599</v>
      </c>
      <c r="E131" s="34" t="s">
        <v>2600</v>
      </c>
      <c r="F131" s="34" t="s">
        <v>2601</v>
      </c>
      <c r="G131" s="34" t="s">
        <v>2602</v>
      </c>
      <c r="H131" s="34" t="s">
        <v>2603</v>
      </c>
      <c r="I131" s="33" t="s">
        <v>84</v>
      </c>
      <c r="J131" s="34" t="s">
        <v>2604</v>
      </c>
      <c r="K131" s="35"/>
      <c r="L131" s="34" t="s">
        <v>1645</v>
      </c>
      <c r="M131" s="35" t="s">
        <v>29</v>
      </c>
      <c r="N131" s="34" t="s">
        <v>2575</v>
      </c>
      <c r="O131" s="35" t="s">
        <v>164</v>
      </c>
      <c r="P131" s="35" t="s">
        <v>2514</v>
      </c>
    </row>
    <row r="132" spans="1:16" ht="409.6" customHeight="1" x14ac:dyDescent="0.25">
      <c r="A132" s="33">
        <v>130</v>
      </c>
      <c r="B132" s="34" t="s">
        <v>2605</v>
      </c>
      <c r="C132" s="35"/>
      <c r="D132" s="34" t="s">
        <v>2606</v>
      </c>
      <c r="E132" s="34" t="s">
        <v>2607</v>
      </c>
      <c r="F132" s="34" t="s">
        <v>2608</v>
      </c>
      <c r="G132" s="34" t="s">
        <v>2609</v>
      </c>
      <c r="H132" s="34" t="s">
        <v>2610</v>
      </c>
      <c r="I132" s="33" t="s">
        <v>84</v>
      </c>
      <c r="J132" s="34" t="s">
        <v>2611</v>
      </c>
      <c r="K132" s="35"/>
      <c r="L132" s="34" t="s">
        <v>1645</v>
      </c>
      <c r="M132" s="35" t="s">
        <v>29</v>
      </c>
      <c r="N132" s="34" t="s">
        <v>2540</v>
      </c>
      <c r="O132" s="35" t="s">
        <v>164</v>
      </c>
      <c r="P132" s="35" t="s">
        <v>2514</v>
      </c>
    </row>
    <row r="133" spans="1:16" ht="409.6" customHeight="1" x14ac:dyDescent="0.25">
      <c r="A133" s="33">
        <v>131</v>
      </c>
      <c r="B133" s="34" t="s">
        <v>2612</v>
      </c>
      <c r="C133" s="35"/>
      <c r="D133" s="34" t="s">
        <v>740</v>
      </c>
      <c r="E133" s="34" t="s">
        <v>1215</v>
      </c>
      <c r="F133" s="34" t="s">
        <v>733</v>
      </c>
      <c r="G133" s="34" t="s">
        <v>2613</v>
      </c>
      <c r="H133" s="34" t="s">
        <v>442</v>
      </c>
      <c r="I133" s="33" t="s">
        <v>84</v>
      </c>
      <c r="J133" s="34" t="s">
        <v>2614</v>
      </c>
      <c r="K133" s="35"/>
      <c r="L133" s="34" t="s">
        <v>1645</v>
      </c>
      <c r="M133" s="35" t="s">
        <v>29</v>
      </c>
      <c r="N133" s="34" t="s">
        <v>2537</v>
      </c>
      <c r="O133" s="35" t="s">
        <v>164</v>
      </c>
      <c r="P133" s="35" t="s">
        <v>2514</v>
      </c>
    </row>
    <row r="134" spans="1:16" ht="409.6" customHeight="1" x14ac:dyDescent="0.25">
      <c r="A134" s="33">
        <v>132</v>
      </c>
      <c r="B134" s="34" t="s">
        <v>2615</v>
      </c>
      <c r="C134" s="35"/>
      <c r="D134" s="34" t="s">
        <v>2616</v>
      </c>
      <c r="E134" s="34" t="s">
        <v>2617</v>
      </c>
      <c r="F134" s="34" t="s">
        <v>2618</v>
      </c>
      <c r="G134" s="34" t="s">
        <v>2619</v>
      </c>
      <c r="H134" s="34" t="s">
        <v>2620</v>
      </c>
      <c r="I134" s="33" t="s">
        <v>84</v>
      </c>
      <c r="J134" s="34" t="s">
        <v>2621</v>
      </c>
      <c r="K134" s="35"/>
      <c r="L134" s="34" t="s">
        <v>1645</v>
      </c>
      <c r="M134" s="35" t="s">
        <v>29</v>
      </c>
      <c r="N134" s="34" t="s">
        <v>2540</v>
      </c>
      <c r="O134" s="35" t="s">
        <v>164</v>
      </c>
      <c r="P134" s="35" t="s">
        <v>2514</v>
      </c>
    </row>
    <row r="135" spans="1:16" ht="409.6" customHeight="1" x14ac:dyDescent="0.25">
      <c r="A135" s="33">
        <v>133</v>
      </c>
      <c r="B135" s="34" t="s">
        <v>2622</v>
      </c>
      <c r="C135" s="35"/>
      <c r="D135" s="34" t="s">
        <v>2623</v>
      </c>
      <c r="E135" s="34" t="s">
        <v>2624</v>
      </c>
      <c r="F135" s="34" t="s">
        <v>2625</v>
      </c>
      <c r="G135" s="34" t="s">
        <v>2626</v>
      </c>
      <c r="H135" s="34" t="s">
        <v>2627</v>
      </c>
      <c r="I135" s="33" t="s">
        <v>84</v>
      </c>
      <c r="J135" s="34" t="s">
        <v>2628</v>
      </c>
      <c r="K135" s="35"/>
      <c r="L135" s="34" t="s">
        <v>1645</v>
      </c>
      <c r="M135" s="35" t="s">
        <v>29</v>
      </c>
      <c r="N135" s="34" t="s">
        <v>2556</v>
      </c>
      <c r="O135" s="35" t="s">
        <v>816</v>
      </c>
      <c r="P135" s="35" t="s">
        <v>2629</v>
      </c>
    </row>
    <row r="136" spans="1:16" ht="409.6" customHeight="1" x14ac:dyDescent="0.25">
      <c r="A136" s="33">
        <v>134</v>
      </c>
      <c r="B136" s="34" t="s">
        <v>2630</v>
      </c>
      <c r="C136" s="35"/>
      <c r="D136" s="34" t="s">
        <v>2631</v>
      </c>
      <c r="E136" s="34" t="s">
        <v>2632</v>
      </c>
      <c r="F136" s="34" t="s">
        <v>2633</v>
      </c>
      <c r="G136" s="34" t="s">
        <v>2634</v>
      </c>
      <c r="H136" s="34" t="s">
        <v>2635</v>
      </c>
      <c r="I136" s="33" t="s">
        <v>90</v>
      </c>
      <c r="J136" s="34" t="s">
        <v>2636</v>
      </c>
      <c r="K136" s="35"/>
      <c r="L136" s="34" t="s">
        <v>1645</v>
      </c>
      <c r="M136" s="35" t="s">
        <v>29</v>
      </c>
      <c r="N136" s="34" t="s">
        <v>2563</v>
      </c>
      <c r="O136" s="35" t="s">
        <v>816</v>
      </c>
      <c r="P136" s="35" t="s">
        <v>2629</v>
      </c>
    </row>
    <row r="137" spans="1:16" ht="409.6" customHeight="1" x14ac:dyDescent="0.25">
      <c r="A137" s="33">
        <v>135</v>
      </c>
      <c r="B137" s="34" t="s">
        <v>2637</v>
      </c>
      <c r="C137" s="35"/>
      <c r="D137" s="34" t="s">
        <v>333</v>
      </c>
      <c r="E137" s="34" t="s">
        <v>2638</v>
      </c>
      <c r="F137" s="34" t="s">
        <v>1259</v>
      </c>
      <c r="G137" s="34" t="s">
        <v>2639</v>
      </c>
      <c r="H137" s="34" t="s">
        <v>1260</v>
      </c>
      <c r="I137" s="33" t="s">
        <v>84</v>
      </c>
      <c r="J137" s="34" t="s">
        <v>2640</v>
      </c>
      <c r="K137" s="35"/>
      <c r="L137" s="34" t="s">
        <v>1645</v>
      </c>
      <c r="M137" s="35" t="s">
        <v>29</v>
      </c>
      <c r="N137" s="34" t="s">
        <v>2537</v>
      </c>
      <c r="O137" s="35" t="s">
        <v>816</v>
      </c>
      <c r="P137" s="35" t="s">
        <v>2629</v>
      </c>
    </row>
    <row r="138" spans="1:16" ht="409.6" customHeight="1" x14ac:dyDescent="0.25">
      <c r="A138" s="33">
        <v>136</v>
      </c>
      <c r="B138" s="34" t="s">
        <v>2641</v>
      </c>
      <c r="C138" s="35"/>
      <c r="D138" s="34" t="s">
        <v>2642</v>
      </c>
      <c r="E138" s="34" t="s">
        <v>2261</v>
      </c>
      <c r="F138" s="34" t="s">
        <v>2480</v>
      </c>
      <c r="G138" s="34" t="s">
        <v>2097</v>
      </c>
      <c r="H138" s="34" t="s">
        <v>2481</v>
      </c>
      <c r="I138" s="33">
        <v>1</v>
      </c>
      <c r="J138" s="34" t="s">
        <v>2643</v>
      </c>
      <c r="K138" s="35"/>
      <c r="L138" s="34" t="s">
        <v>1645</v>
      </c>
      <c r="M138" s="35" t="s">
        <v>29</v>
      </c>
      <c r="N138" s="34" t="s">
        <v>1669</v>
      </c>
      <c r="O138" s="35" t="s">
        <v>816</v>
      </c>
      <c r="P138" s="35" t="s">
        <v>2629</v>
      </c>
    </row>
    <row r="139" spans="1:16" ht="409.6" customHeight="1" x14ac:dyDescent="0.25">
      <c r="A139" s="33">
        <v>137</v>
      </c>
      <c r="B139" s="34" t="s">
        <v>2644</v>
      </c>
      <c r="C139" s="35"/>
      <c r="D139" s="34" t="s">
        <v>2645</v>
      </c>
      <c r="E139" s="34" t="s">
        <v>2646</v>
      </c>
      <c r="F139" s="34" t="s">
        <v>2647</v>
      </c>
      <c r="G139" s="34" t="s">
        <v>2648</v>
      </c>
      <c r="H139" s="34" t="s">
        <v>2649</v>
      </c>
      <c r="I139" s="33" t="s">
        <v>123</v>
      </c>
      <c r="J139" s="34" t="s">
        <v>2650</v>
      </c>
      <c r="K139" s="35"/>
      <c r="L139" s="34" t="s">
        <v>1645</v>
      </c>
      <c r="M139" s="35" t="s">
        <v>29</v>
      </c>
      <c r="N139" s="34" t="s">
        <v>2651</v>
      </c>
      <c r="O139" s="35" t="s">
        <v>816</v>
      </c>
      <c r="P139" s="35" t="s">
        <v>2629</v>
      </c>
    </row>
    <row r="140" spans="1:16" ht="409.6" customHeight="1" x14ac:dyDescent="0.25">
      <c r="A140" s="33">
        <v>138</v>
      </c>
      <c r="B140" s="34" t="s">
        <v>2652</v>
      </c>
      <c r="C140" s="35"/>
      <c r="D140" s="34" t="s">
        <v>675</v>
      </c>
      <c r="E140" s="34" t="s">
        <v>2653</v>
      </c>
      <c r="F140" s="34" t="s">
        <v>559</v>
      </c>
      <c r="G140" s="34" t="s">
        <v>459</v>
      </c>
      <c r="H140" s="34" t="s">
        <v>158</v>
      </c>
      <c r="I140" s="33" t="s">
        <v>123</v>
      </c>
      <c r="J140" s="34" t="s">
        <v>2654</v>
      </c>
      <c r="K140" s="35"/>
      <c r="L140" s="34" t="s">
        <v>1645</v>
      </c>
      <c r="M140" s="35" t="s">
        <v>29</v>
      </c>
      <c r="N140" s="34" t="s">
        <v>2655</v>
      </c>
      <c r="O140" s="35" t="s">
        <v>816</v>
      </c>
      <c r="P140" s="35" t="s">
        <v>2629</v>
      </c>
    </row>
    <row r="141" spans="1:16" ht="409.6" customHeight="1" x14ac:dyDescent="0.25">
      <c r="A141" s="33">
        <v>139</v>
      </c>
      <c r="B141" s="34" t="s">
        <v>2656</v>
      </c>
      <c r="C141" s="35"/>
      <c r="D141" s="34" t="s">
        <v>2216</v>
      </c>
      <c r="E141" s="34" t="s">
        <v>2217</v>
      </c>
      <c r="F141" s="34" t="s">
        <v>2657</v>
      </c>
      <c r="G141" s="34" t="s">
        <v>2219</v>
      </c>
      <c r="H141" s="34" t="s">
        <v>2658</v>
      </c>
      <c r="I141" s="33" t="s">
        <v>96</v>
      </c>
      <c r="J141" s="34" t="s">
        <v>2659</v>
      </c>
      <c r="K141" s="35"/>
      <c r="L141" s="34" t="s">
        <v>1645</v>
      </c>
      <c r="M141" s="35" t="s">
        <v>29</v>
      </c>
      <c r="N141" s="34" t="s">
        <v>2660</v>
      </c>
      <c r="O141" s="35" t="s">
        <v>816</v>
      </c>
      <c r="P141" s="35" t="s">
        <v>2629</v>
      </c>
    </row>
    <row r="142" spans="1:16" ht="409.6" customHeight="1" x14ac:dyDescent="0.25">
      <c r="A142" s="33">
        <v>140</v>
      </c>
      <c r="B142" s="34" t="s">
        <v>2661</v>
      </c>
      <c r="C142" s="35"/>
      <c r="D142" s="34" t="s">
        <v>1889</v>
      </c>
      <c r="E142" s="34" t="s">
        <v>586</v>
      </c>
      <c r="F142" s="34" t="s">
        <v>2662</v>
      </c>
      <c r="G142" s="34" t="s">
        <v>2663</v>
      </c>
      <c r="H142" s="34" t="s">
        <v>1645</v>
      </c>
      <c r="I142" s="33" t="s">
        <v>84</v>
      </c>
      <c r="J142" s="34" t="s">
        <v>2664</v>
      </c>
      <c r="K142" s="35"/>
      <c r="L142" s="34" t="s">
        <v>1645</v>
      </c>
      <c r="M142" s="35" t="s">
        <v>29</v>
      </c>
      <c r="N142" s="34" t="s">
        <v>2665</v>
      </c>
      <c r="O142" s="35" t="s">
        <v>816</v>
      </c>
      <c r="P142" s="35" t="s">
        <v>2629</v>
      </c>
    </row>
    <row r="143" spans="1:16" ht="409.6" customHeight="1" x14ac:dyDescent="0.25">
      <c r="A143" s="33">
        <v>141</v>
      </c>
      <c r="B143" s="34" t="s">
        <v>2666</v>
      </c>
      <c r="C143" s="35"/>
      <c r="D143" s="34" t="s">
        <v>733</v>
      </c>
      <c r="E143" s="34" t="s">
        <v>2238</v>
      </c>
      <c r="F143" s="34" t="s">
        <v>2239</v>
      </c>
      <c r="G143" s="34" t="s">
        <v>442</v>
      </c>
      <c r="H143" s="34" t="s">
        <v>622</v>
      </c>
      <c r="I143" s="33" t="s">
        <v>96</v>
      </c>
      <c r="J143" s="34" t="s">
        <v>2667</v>
      </c>
      <c r="K143" s="35"/>
      <c r="L143" s="34" t="s">
        <v>1645</v>
      </c>
      <c r="M143" s="35" t="s">
        <v>29</v>
      </c>
      <c r="N143" s="34" t="s">
        <v>2668</v>
      </c>
      <c r="O143" s="35" t="s">
        <v>816</v>
      </c>
      <c r="P143" s="35" t="s">
        <v>2629</v>
      </c>
    </row>
    <row r="144" spans="1:16" ht="409.6" customHeight="1" x14ac:dyDescent="0.25">
      <c r="A144" s="33">
        <v>142</v>
      </c>
      <c r="B144" s="34" t="s">
        <v>2669</v>
      </c>
      <c r="C144" s="35"/>
      <c r="D144" s="34" t="s">
        <v>2670</v>
      </c>
      <c r="E144" s="34" t="s">
        <v>2244</v>
      </c>
      <c r="F144" s="34" t="s">
        <v>2245</v>
      </c>
      <c r="G144" s="34" t="s">
        <v>2671</v>
      </c>
      <c r="H144" s="34" t="s">
        <v>2672</v>
      </c>
      <c r="I144" s="33" t="s">
        <v>123</v>
      </c>
      <c r="J144" s="34" t="s">
        <v>2673</v>
      </c>
      <c r="K144" s="35"/>
      <c r="L144" s="34" t="s">
        <v>1645</v>
      </c>
      <c r="M144" s="35" t="s">
        <v>29</v>
      </c>
      <c r="N144" s="34" t="s">
        <v>2674</v>
      </c>
      <c r="O144" s="35" t="s">
        <v>816</v>
      </c>
      <c r="P144" s="35" t="s">
        <v>2629</v>
      </c>
    </row>
    <row r="145" spans="1:16" ht="409.6" customHeight="1" x14ac:dyDescent="0.25">
      <c r="A145" s="33">
        <v>143</v>
      </c>
      <c r="B145" s="34" t="s">
        <v>2675</v>
      </c>
      <c r="C145" s="35"/>
      <c r="D145" s="34" t="s">
        <v>2250</v>
      </c>
      <c r="E145" s="34" t="s">
        <v>2251</v>
      </c>
      <c r="F145" s="34" t="s">
        <v>2252</v>
      </c>
      <c r="G145" s="34" t="s">
        <v>2253</v>
      </c>
      <c r="H145" s="34" t="s">
        <v>2254</v>
      </c>
      <c r="I145" s="33" t="s">
        <v>84</v>
      </c>
      <c r="J145" s="34" t="s">
        <v>2676</v>
      </c>
      <c r="K145" s="35"/>
      <c r="L145" s="34" t="s">
        <v>1645</v>
      </c>
      <c r="M145" s="35" t="s">
        <v>29</v>
      </c>
      <c r="N145" s="34" t="s">
        <v>2677</v>
      </c>
      <c r="O145" s="35" t="s">
        <v>816</v>
      </c>
      <c r="P145" s="35" t="s">
        <v>2629</v>
      </c>
    </row>
    <row r="146" spans="1:16" ht="409.6" customHeight="1" x14ac:dyDescent="0.25">
      <c r="A146" s="33">
        <v>144</v>
      </c>
      <c r="B146" s="34" t="s">
        <v>2678</v>
      </c>
      <c r="C146" s="35"/>
      <c r="D146" s="34" t="s">
        <v>2265</v>
      </c>
      <c r="E146" s="34" t="s">
        <v>2266</v>
      </c>
      <c r="F146" s="34" t="s">
        <v>2267</v>
      </c>
      <c r="G146" s="34" t="s">
        <v>2679</v>
      </c>
      <c r="H146" s="34" t="s">
        <v>2269</v>
      </c>
      <c r="I146" s="33" t="s">
        <v>84</v>
      </c>
      <c r="J146" s="34" t="s">
        <v>2680</v>
      </c>
      <c r="K146" s="35"/>
      <c r="L146" s="34" t="s">
        <v>1645</v>
      </c>
      <c r="M146" s="35" t="s">
        <v>29</v>
      </c>
      <c r="N146" s="34" t="s">
        <v>2681</v>
      </c>
      <c r="O146" s="35" t="s">
        <v>816</v>
      </c>
      <c r="P146" s="35" t="s">
        <v>2629</v>
      </c>
    </row>
    <row r="147" spans="1:16" ht="409.6" customHeight="1" x14ac:dyDescent="0.25">
      <c r="A147" s="33">
        <v>145</v>
      </c>
      <c r="B147" s="34" t="s">
        <v>2682</v>
      </c>
      <c r="C147" s="35"/>
      <c r="D147" s="34" t="s">
        <v>1214</v>
      </c>
      <c r="E147" s="34" t="s">
        <v>738</v>
      </c>
      <c r="F147" s="34" t="s">
        <v>331</v>
      </c>
      <c r="G147" s="34" t="s">
        <v>1962</v>
      </c>
      <c r="H147" s="34" t="s">
        <v>2683</v>
      </c>
      <c r="I147" s="33" t="s">
        <v>84</v>
      </c>
      <c r="J147" s="34" t="s">
        <v>2684</v>
      </c>
      <c r="K147" s="35"/>
      <c r="L147" s="34" t="s">
        <v>1645</v>
      </c>
      <c r="M147" s="35" t="s">
        <v>29</v>
      </c>
      <c r="N147" s="34" t="s">
        <v>2685</v>
      </c>
      <c r="O147" s="35" t="s">
        <v>816</v>
      </c>
      <c r="P147" s="35" t="s">
        <v>2629</v>
      </c>
    </row>
    <row r="148" spans="1:16" ht="409.6" customHeight="1" x14ac:dyDescent="0.25">
      <c r="A148" s="33">
        <v>146</v>
      </c>
      <c r="B148" s="34" t="s">
        <v>2686</v>
      </c>
      <c r="C148" s="35"/>
      <c r="D148" s="34" t="s">
        <v>2687</v>
      </c>
      <c r="E148" s="34" t="s">
        <v>2688</v>
      </c>
      <c r="F148" s="34" t="s">
        <v>2689</v>
      </c>
      <c r="G148" s="34" t="s">
        <v>2690</v>
      </c>
      <c r="H148" s="34" t="s">
        <v>2691</v>
      </c>
      <c r="I148" s="33" t="s">
        <v>84</v>
      </c>
      <c r="J148" s="34" t="s">
        <v>2692</v>
      </c>
      <c r="K148" s="35"/>
      <c r="L148" s="34" t="s">
        <v>1645</v>
      </c>
      <c r="M148" s="35" t="s">
        <v>29</v>
      </c>
      <c r="N148" s="34" t="s">
        <v>2693</v>
      </c>
      <c r="O148" s="35" t="s">
        <v>816</v>
      </c>
      <c r="P148" s="35" t="s">
        <v>2629</v>
      </c>
    </row>
    <row r="149" spans="1:16" ht="409.6" customHeight="1" x14ac:dyDescent="0.25">
      <c r="A149" s="33">
        <v>147</v>
      </c>
      <c r="B149" s="34" t="s">
        <v>2694</v>
      </c>
      <c r="C149" s="35"/>
      <c r="D149" s="34" t="s">
        <v>2695</v>
      </c>
      <c r="E149" s="34" t="s">
        <v>2696</v>
      </c>
      <c r="F149" s="34" t="s">
        <v>2697</v>
      </c>
      <c r="G149" s="34" t="s">
        <v>2698</v>
      </c>
      <c r="H149" s="34" t="s">
        <v>2699</v>
      </c>
      <c r="I149" s="33" t="s">
        <v>123</v>
      </c>
      <c r="J149" s="34" t="s">
        <v>2700</v>
      </c>
      <c r="K149" s="35"/>
      <c r="L149" s="34" t="s">
        <v>1645</v>
      </c>
      <c r="M149" s="35" t="s">
        <v>29</v>
      </c>
      <c r="N149" s="34" t="s">
        <v>2701</v>
      </c>
      <c r="O149" s="35" t="s">
        <v>816</v>
      </c>
      <c r="P149" s="35" t="s">
        <v>2629</v>
      </c>
    </row>
    <row r="150" spans="1:16" ht="409.6" customHeight="1" x14ac:dyDescent="0.25">
      <c r="A150" s="33">
        <v>148</v>
      </c>
      <c r="B150" s="34" t="s">
        <v>2702</v>
      </c>
      <c r="C150" s="35"/>
      <c r="D150" s="34" t="s">
        <v>1867</v>
      </c>
      <c r="E150" s="34" t="s">
        <v>1215</v>
      </c>
      <c r="F150" s="34" t="s">
        <v>1214</v>
      </c>
      <c r="G150" s="34" t="s">
        <v>1868</v>
      </c>
      <c r="H150" s="34" t="s">
        <v>331</v>
      </c>
      <c r="I150" s="33" t="s">
        <v>90</v>
      </c>
      <c r="J150" s="34" t="s">
        <v>2703</v>
      </c>
      <c r="K150" s="35"/>
      <c r="L150" s="34" t="s">
        <v>1645</v>
      </c>
      <c r="M150" s="35" t="s">
        <v>29</v>
      </c>
      <c r="N150" s="34" t="s">
        <v>1870</v>
      </c>
      <c r="O150" s="35" t="s">
        <v>816</v>
      </c>
      <c r="P150" s="35" t="s">
        <v>2629</v>
      </c>
    </row>
    <row r="151" spans="1:16" ht="409.6" customHeight="1" x14ac:dyDescent="0.25">
      <c r="A151" s="33"/>
      <c r="B151" s="34"/>
      <c r="C151" s="35"/>
      <c r="D151" s="34"/>
      <c r="E151" s="34"/>
      <c r="F151" s="34"/>
      <c r="G151" s="34"/>
      <c r="H151" s="34"/>
      <c r="I151" s="33"/>
      <c r="J151" s="34"/>
      <c r="K151" s="35"/>
      <c r="L151" s="34"/>
      <c r="M151" s="35"/>
      <c r="N151" s="34"/>
      <c r="O151" s="35" t="s">
        <v>816</v>
      </c>
      <c r="P151" s="35" t="s">
        <v>2629</v>
      </c>
    </row>
    <row r="152" spans="1:16" ht="409.6" customHeight="1" x14ac:dyDescent="0.25">
      <c r="A152" s="33"/>
      <c r="B152" s="34"/>
      <c r="C152" s="35"/>
      <c r="D152" s="34"/>
      <c r="E152" s="34"/>
      <c r="F152" s="34"/>
      <c r="G152" s="34"/>
      <c r="H152" s="34"/>
      <c r="I152" s="33"/>
      <c r="J152" s="34"/>
      <c r="K152" s="35"/>
      <c r="L152" s="34"/>
      <c r="M152" s="35"/>
      <c r="N152" s="34"/>
      <c r="O152" s="35" t="s">
        <v>816</v>
      </c>
      <c r="P152" s="35" t="s">
        <v>2629</v>
      </c>
    </row>
    <row r="153" spans="1:16" ht="409.6" customHeight="1" x14ac:dyDescent="0.25">
      <c r="A153" s="33"/>
      <c r="B153" s="34"/>
      <c r="C153" s="35"/>
      <c r="D153" s="34"/>
      <c r="E153" s="34"/>
      <c r="F153" s="34"/>
      <c r="G153" s="34"/>
      <c r="H153" s="34"/>
      <c r="I153" s="33"/>
      <c r="J153" s="34"/>
      <c r="K153" s="35"/>
      <c r="L153" s="34"/>
      <c r="M153" s="35"/>
      <c r="N153" s="34"/>
      <c r="O153" s="35" t="s">
        <v>816</v>
      </c>
      <c r="P153" s="35" t="s">
        <v>2629</v>
      </c>
    </row>
    <row r="154" spans="1:16" ht="409.6" customHeight="1" x14ac:dyDescent="0.25">
      <c r="A154" s="33"/>
      <c r="B154" s="34"/>
      <c r="C154" s="35"/>
      <c r="D154" s="34"/>
      <c r="E154" s="34"/>
      <c r="F154" s="34"/>
      <c r="G154" s="34"/>
      <c r="H154" s="34"/>
      <c r="I154" s="33"/>
      <c r="J154" s="34"/>
      <c r="K154" s="35"/>
      <c r="L154" s="34"/>
      <c r="M154" s="35"/>
      <c r="N154" s="34"/>
      <c r="O154" s="35" t="s">
        <v>816</v>
      </c>
      <c r="P154" s="35" t="s">
        <v>2629</v>
      </c>
    </row>
    <row r="155" spans="1:16" ht="409.6" customHeight="1" x14ac:dyDescent="0.25">
      <c r="A155" s="33"/>
      <c r="B155" s="34"/>
      <c r="C155" s="35"/>
      <c r="D155" s="34"/>
      <c r="E155" s="34"/>
      <c r="F155" s="34"/>
      <c r="G155" s="34"/>
      <c r="H155" s="34"/>
      <c r="I155" s="33"/>
      <c r="J155" s="34"/>
      <c r="K155" s="35"/>
      <c r="L155" s="34"/>
      <c r="M155" s="35"/>
      <c r="N155" s="34"/>
      <c r="O155" s="35" t="s">
        <v>816</v>
      </c>
      <c r="P155" s="35" t="s">
        <v>2629</v>
      </c>
    </row>
    <row r="156" spans="1:16" ht="409.6" customHeight="1" x14ac:dyDescent="0.25">
      <c r="A156" s="33"/>
      <c r="B156" s="34"/>
      <c r="C156" s="35"/>
      <c r="D156" s="34"/>
      <c r="E156" s="34"/>
      <c r="F156" s="34"/>
      <c r="G156" s="34"/>
      <c r="H156" s="34"/>
      <c r="I156" s="33"/>
      <c r="J156" s="34"/>
      <c r="K156" s="35"/>
      <c r="L156" s="34"/>
      <c r="M156" s="35"/>
      <c r="N156" s="34"/>
      <c r="O156" s="35" t="s">
        <v>816</v>
      </c>
      <c r="P156" s="35" t="s">
        <v>2629</v>
      </c>
    </row>
    <row r="157" spans="1:16" ht="409.6" customHeight="1" x14ac:dyDescent="0.25">
      <c r="A157" s="33"/>
      <c r="B157" s="34"/>
      <c r="C157" s="35"/>
      <c r="D157" s="34"/>
      <c r="E157" s="34"/>
      <c r="F157" s="34"/>
      <c r="G157" s="34"/>
      <c r="H157" s="34"/>
      <c r="I157" s="33"/>
      <c r="J157" s="34"/>
      <c r="K157" s="35"/>
      <c r="L157" s="34"/>
      <c r="M157" s="35"/>
      <c r="N157" s="34"/>
      <c r="O157" s="35" t="s">
        <v>816</v>
      </c>
      <c r="P157" s="35" t="s">
        <v>2629</v>
      </c>
    </row>
    <row r="158" spans="1:16" ht="409.6" customHeight="1" x14ac:dyDescent="0.25">
      <c r="A158" s="33"/>
      <c r="B158" s="34"/>
      <c r="C158" s="35"/>
      <c r="D158" s="34"/>
      <c r="E158" s="34"/>
      <c r="F158" s="34"/>
      <c r="G158" s="34"/>
      <c r="H158" s="34"/>
      <c r="I158" s="33"/>
      <c r="J158" s="34"/>
      <c r="K158" s="35"/>
      <c r="L158" s="34"/>
      <c r="M158" s="35"/>
      <c r="N158" s="34"/>
      <c r="O158" s="35" t="s">
        <v>816</v>
      </c>
      <c r="P158" s="35" t="s">
        <v>2629</v>
      </c>
    </row>
    <row r="159" spans="1:16" ht="409.6" customHeight="1" x14ac:dyDescent="0.25">
      <c r="A159" s="33"/>
      <c r="B159" s="34"/>
      <c r="C159" s="35"/>
      <c r="D159" s="34"/>
      <c r="E159" s="34"/>
      <c r="F159" s="34"/>
      <c r="G159" s="34"/>
      <c r="H159" s="34"/>
      <c r="I159" s="33"/>
      <c r="J159" s="34"/>
      <c r="K159" s="35"/>
      <c r="L159" s="34"/>
      <c r="M159" s="35"/>
      <c r="N159" s="34"/>
      <c r="O159" s="35" t="s">
        <v>816</v>
      </c>
      <c r="P159" s="35" t="s">
        <v>2629</v>
      </c>
    </row>
    <row r="160" spans="1:16" ht="409.6" customHeight="1" x14ac:dyDescent="0.25">
      <c r="A160" s="33"/>
      <c r="B160" s="34"/>
      <c r="C160" s="35"/>
      <c r="D160" s="34"/>
      <c r="E160" s="34"/>
      <c r="F160" s="34"/>
      <c r="G160" s="34"/>
      <c r="H160" s="34"/>
      <c r="I160" s="33"/>
      <c r="J160" s="34"/>
      <c r="K160" s="35"/>
      <c r="L160" s="34"/>
      <c r="M160" s="35"/>
      <c r="N160" s="34"/>
      <c r="O160" s="35" t="s">
        <v>816</v>
      </c>
      <c r="P160" s="35" t="s">
        <v>2629</v>
      </c>
    </row>
    <row r="161" spans="1:16" ht="409.6" customHeight="1" x14ac:dyDescent="0.25">
      <c r="A161" s="33"/>
      <c r="B161" s="34"/>
      <c r="C161" s="35"/>
      <c r="D161" s="34"/>
      <c r="E161" s="34"/>
      <c r="F161" s="34"/>
      <c r="G161" s="34"/>
      <c r="H161" s="34"/>
      <c r="I161" s="33"/>
      <c r="J161" s="34"/>
      <c r="K161" s="35"/>
      <c r="L161" s="34"/>
      <c r="M161" s="35"/>
      <c r="N161" s="34"/>
      <c r="O161" s="35" t="s">
        <v>816</v>
      </c>
      <c r="P161" s="35" t="s">
        <v>2629</v>
      </c>
    </row>
    <row r="162" spans="1:16" ht="409.6" customHeight="1" x14ac:dyDescent="0.25">
      <c r="A162" s="33"/>
      <c r="B162" s="34"/>
      <c r="C162" s="35"/>
      <c r="D162" s="34"/>
      <c r="E162" s="34"/>
      <c r="F162" s="34"/>
      <c r="G162" s="34"/>
      <c r="H162" s="34"/>
      <c r="I162" s="33"/>
      <c r="J162" s="34"/>
      <c r="K162" s="35"/>
      <c r="L162" s="34"/>
      <c r="M162" s="35"/>
      <c r="N162" s="34"/>
      <c r="O162" s="35" t="s">
        <v>816</v>
      </c>
      <c r="P162" s="35" t="s">
        <v>2704</v>
      </c>
    </row>
    <row r="163" spans="1:16" ht="409.6" customHeight="1" x14ac:dyDescent="0.25">
      <c r="A163" s="33"/>
      <c r="B163" s="34"/>
      <c r="C163" s="35"/>
      <c r="D163" s="34"/>
      <c r="E163" s="34"/>
      <c r="F163" s="34"/>
      <c r="G163" s="34"/>
      <c r="H163" s="34"/>
      <c r="I163" s="33"/>
      <c r="J163" s="34"/>
      <c r="K163" s="35"/>
      <c r="L163" s="34"/>
      <c r="M163" s="35"/>
      <c r="N163" s="34"/>
      <c r="O163" s="35" t="s">
        <v>164</v>
      </c>
      <c r="P163" s="35" t="s">
        <v>2705</v>
      </c>
    </row>
    <row r="164" spans="1:16" ht="409.6" customHeight="1" x14ac:dyDescent="0.25">
      <c r="A164" s="33"/>
      <c r="B164" s="34"/>
      <c r="C164" s="35"/>
      <c r="D164" s="34"/>
      <c r="E164" s="34"/>
      <c r="F164" s="34"/>
      <c r="G164" s="34"/>
      <c r="H164" s="34"/>
      <c r="I164" s="33"/>
      <c r="J164" s="34"/>
      <c r="K164" s="35"/>
      <c r="L164" s="34"/>
      <c r="M164" s="35"/>
      <c r="N164" s="34"/>
      <c r="O164" s="35" t="s">
        <v>164</v>
      </c>
      <c r="P164" s="35" t="s">
        <v>2705</v>
      </c>
    </row>
    <row r="165" spans="1:16" ht="409.6" customHeight="1" x14ac:dyDescent="0.25">
      <c r="A165" s="33"/>
      <c r="B165" s="34"/>
      <c r="C165" s="35"/>
      <c r="D165" s="34"/>
      <c r="E165" s="34"/>
      <c r="F165" s="34"/>
      <c r="G165" s="34"/>
      <c r="H165" s="34"/>
      <c r="I165" s="33"/>
      <c r="J165" s="34"/>
      <c r="K165" s="35"/>
      <c r="L165" s="34"/>
      <c r="M165" s="35"/>
      <c r="N165" s="34"/>
      <c r="O165" s="35" t="s">
        <v>164</v>
      </c>
      <c r="P165" s="35" t="s">
        <v>2705</v>
      </c>
    </row>
    <row r="166" spans="1:16" ht="409.6" customHeight="1" x14ac:dyDescent="0.25">
      <c r="A166" s="33"/>
      <c r="B166" s="34"/>
      <c r="C166" s="35"/>
      <c r="D166" s="34"/>
      <c r="E166" s="34"/>
      <c r="F166" s="34"/>
      <c r="G166" s="34"/>
      <c r="H166" s="34"/>
      <c r="I166" s="33"/>
      <c r="J166" s="34"/>
      <c r="K166" s="35"/>
      <c r="L166" s="34"/>
      <c r="M166" s="35"/>
      <c r="N166" s="34"/>
      <c r="O166" s="35" t="s">
        <v>164</v>
      </c>
      <c r="P166" s="35" t="s">
        <v>2705</v>
      </c>
    </row>
    <row r="167" spans="1:16" ht="409.6" customHeight="1" x14ac:dyDescent="0.25">
      <c r="A167" s="33"/>
      <c r="B167" s="34"/>
      <c r="C167" s="35"/>
      <c r="D167" s="34"/>
      <c r="E167" s="34"/>
      <c r="F167" s="34"/>
      <c r="G167" s="34"/>
      <c r="H167" s="34"/>
      <c r="I167" s="33"/>
      <c r="J167" s="34"/>
      <c r="K167" s="35"/>
      <c r="L167" s="34"/>
      <c r="M167" s="35"/>
      <c r="N167" s="34"/>
      <c r="O167" s="35" t="s">
        <v>164</v>
      </c>
      <c r="P167" s="35" t="s">
        <v>2706</v>
      </c>
    </row>
    <row r="168" spans="1:16" ht="409.6" customHeight="1" x14ac:dyDescent="0.25">
      <c r="A168" s="33"/>
      <c r="B168" s="34"/>
      <c r="C168" s="35"/>
      <c r="D168" s="34"/>
      <c r="E168" s="34"/>
      <c r="F168" s="34"/>
      <c r="G168" s="34"/>
      <c r="H168" s="34"/>
      <c r="I168" s="33"/>
      <c r="J168" s="34"/>
      <c r="K168" s="35"/>
      <c r="L168" s="34"/>
      <c r="M168" s="35"/>
      <c r="N168" s="34"/>
      <c r="O168" s="35" t="s">
        <v>164</v>
      </c>
      <c r="P168" s="35" t="s">
        <v>2706</v>
      </c>
    </row>
    <row r="169" spans="1:16" ht="409.6" customHeight="1" x14ac:dyDescent="0.25">
      <c r="A169" s="33"/>
      <c r="B169" s="34"/>
      <c r="C169" s="35"/>
      <c r="D169" s="34"/>
      <c r="E169" s="34"/>
      <c r="F169" s="34"/>
      <c r="G169" s="34"/>
      <c r="H169" s="34"/>
      <c r="I169" s="33"/>
      <c r="J169" s="34"/>
      <c r="K169" s="35"/>
      <c r="L169" s="34"/>
      <c r="M169" s="35"/>
      <c r="N169" s="34"/>
      <c r="O169" s="35" t="s">
        <v>164</v>
      </c>
      <c r="P169" s="35" t="s">
        <v>2706</v>
      </c>
    </row>
    <row r="170" spans="1:16" ht="409.6" customHeight="1" x14ac:dyDescent="0.25">
      <c r="A170" s="33"/>
      <c r="B170" s="34"/>
      <c r="C170" s="35"/>
      <c r="D170" s="34"/>
      <c r="E170" s="34"/>
      <c r="F170" s="34"/>
      <c r="G170" s="34"/>
      <c r="H170" s="34"/>
      <c r="I170" s="33"/>
      <c r="J170" s="34"/>
      <c r="K170" s="35"/>
      <c r="L170" s="34"/>
      <c r="M170" s="35"/>
      <c r="N170" s="34"/>
      <c r="O170" s="35" t="s">
        <v>164</v>
      </c>
      <c r="P170" s="35" t="s">
        <v>2706</v>
      </c>
    </row>
    <row r="171" spans="1:16" ht="409.6" customHeight="1" x14ac:dyDescent="0.25">
      <c r="A171" s="33"/>
      <c r="B171" s="34"/>
      <c r="C171" s="35"/>
      <c r="D171" s="34"/>
      <c r="E171" s="34"/>
      <c r="F171" s="34"/>
      <c r="G171" s="34"/>
      <c r="H171" s="34"/>
      <c r="I171" s="33"/>
      <c r="J171" s="34"/>
      <c r="K171" s="35"/>
      <c r="L171" s="34"/>
      <c r="M171" s="35"/>
      <c r="N171" s="34"/>
      <c r="O171" s="35" t="s">
        <v>164</v>
      </c>
      <c r="P171" s="35" t="s">
        <v>2706</v>
      </c>
    </row>
    <row r="172" spans="1:16" ht="409.6" customHeight="1" x14ac:dyDescent="0.25">
      <c r="A172" s="33"/>
      <c r="B172" s="34"/>
      <c r="C172" s="35"/>
      <c r="D172" s="34"/>
      <c r="E172" s="34"/>
      <c r="F172" s="34"/>
      <c r="G172" s="34"/>
      <c r="H172" s="34"/>
      <c r="I172" s="33"/>
      <c r="J172" s="34"/>
      <c r="K172" s="35"/>
      <c r="L172" s="34"/>
      <c r="M172" s="35"/>
      <c r="N172" s="34"/>
      <c r="O172" s="35" t="s">
        <v>164</v>
      </c>
      <c r="P172" s="35" t="s">
        <v>2707</v>
      </c>
    </row>
    <row r="173" spans="1:16" ht="409.6" customHeight="1" x14ac:dyDescent="0.25">
      <c r="A173" s="33"/>
      <c r="B173" s="34"/>
      <c r="C173" s="35"/>
      <c r="D173" s="34"/>
      <c r="E173" s="34"/>
      <c r="F173" s="34"/>
      <c r="G173" s="34"/>
      <c r="H173" s="34"/>
      <c r="I173" s="33"/>
      <c r="J173" s="34"/>
      <c r="K173" s="35"/>
      <c r="L173" s="34"/>
      <c r="M173" s="35"/>
      <c r="N173" s="34"/>
      <c r="O173" s="35" t="s">
        <v>164</v>
      </c>
      <c r="P173" s="35" t="s">
        <v>2707</v>
      </c>
    </row>
    <row r="174" spans="1:16" ht="409.6" customHeight="1" x14ac:dyDescent="0.25">
      <c r="A174" s="33"/>
      <c r="B174" s="34"/>
      <c r="C174" s="35"/>
      <c r="D174" s="34"/>
      <c r="E174" s="34"/>
      <c r="F174" s="34"/>
      <c r="G174" s="34"/>
      <c r="H174" s="34"/>
      <c r="I174" s="33"/>
      <c r="J174" s="34"/>
      <c r="K174" s="35"/>
      <c r="L174" s="34"/>
      <c r="M174" s="35"/>
      <c r="N174" s="34"/>
      <c r="O174" s="35" t="s">
        <v>164</v>
      </c>
      <c r="P174" s="35" t="s">
        <v>2707</v>
      </c>
    </row>
    <row r="175" spans="1:16" ht="409.6" customHeight="1" x14ac:dyDescent="0.25">
      <c r="A175" s="33"/>
      <c r="B175" s="34"/>
      <c r="C175" s="35"/>
      <c r="D175" s="34"/>
      <c r="E175" s="34"/>
      <c r="F175" s="34"/>
      <c r="G175" s="34"/>
      <c r="H175" s="34"/>
      <c r="I175" s="33"/>
      <c r="J175" s="34"/>
      <c r="K175" s="35"/>
      <c r="L175" s="34"/>
      <c r="M175" s="35"/>
      <c r="N175" s="34"/>
      <c r="O175" s="35" t="s">
        <v>164</v>
      </c>
      <c r="P175" s="35" t="s">
        <v>2707</v>
      </c>
    </row>
    <row r="176" spans="1:16" ht="409.6" customHeight="1" x14ac:dyDescent="0.25">
      <c r="A176" s="33"/>
      <c r="B176" s="34"/>
      <c r="C176" s="35"/>
      <c r="D176" s="34"/>
      <c r="E176" s="34"/>
      <c r="F176" s="34"/>
      <c r="G176" s="34"/>
      <c r="H176" s="34"/>
      <c r="I176" s="33"/>
      <c r="J176" s="34"/>
      <c r="K176" s="35"/>
      <c r="L176" s="34"/>
      <c r="M176" s="35"/>
      <c r="N176" s="34"/>
      <c r="O176" s="35" t="s">
        <v>164</v>
      </c>
      <c r="P176" s="35" t="s">
        <v>2707</v>
      </c>
    </row>
    <row r="177" spans="1:16" ht="409.6" customHeight="1" x14ac:dyDescent="0.25">
      <c r="A177" s="33"/>
      <c r="B177" s="34"/>
      <c r="C177" s="35"/>
      <c r="D177" s="34"/>
      <c r="E177" s="34"/>
      <c r="F177" s="34"/>
      <c r="G177" s="34"/>
      <c r="H177" s="34"/>
      <c r="I177" s="33"/>
      <c r="J177" s="34"/>
      <c r="K177" s="35"/>
      <c r="L177" s="34"/>
      <c r="M177" s="35"/>
      <c r="N177" s="34"/>
      <c r="O177" s="35" t="s">
        <v>164</v>
      </c>
      <c r="P177" s="35" t="s">
        <v>2707</v>
      </c>
    </row>
    <row r="178" spans="1:16" ht="409.6" customHeight="1" x14ac:dyDescent="0.25">
      <c r="A178" s="33"/>
      <c r="B178" s="34"/>
      <c r="C178" s="35"/>
      <c r="D178" s="34"/>
      <c r="E178" s="34"/>
      <c r="F178" s="34"/>
      <c r="G178" s="34"/>
      <c r="H178" s="34"/>
      <c r="I178" s="33"/>
      <c r="J178" s="34"/>
      <c r="K178" s="35"/>
      <c r="L178" s="34"/>
      <c r="M178" s="35"/>
      <c r="N178" s="34"/>
      <c r="O178" s="35" t="s">
        <v>164</v>
      </c>
      <c r="P178" s="35" t="s">
        <v>2707</v>
      </c>
    </row>
    <row r="179" spans="1:16" ht="409.6" customHeight="1" x14ac:dyDescent="0.25">
      <c r="A179" s="33"/>
      <c r="B179" s="34"/>
      <c r="C179" s="35"/>
      <c r="D179" s="34"/>
      <c r="E179" s="34"/>
      <c r="F179" s="34"/>
      <c r="G179" s="34"/>
      <c r="H179" s="34"/>
      <c r="I179" s="33"/>
      <c r="J179" s="34"/>
      <c r="K179" s="35"/>
      <c r="L179" s="34"/>
      <c r="M179" s="35"/>
      <c r="N179" s="34"/>
      <c r="O179" s="35" t="s">
        <v>164</v>
      </c>
      <c r="P179" s="35" t="s">
        <v>2707</v>
      </c>
    </row>
    <row r="180" spans="1:16" ht="409.6" customHeight="1" x14ac:dyDescent="0.25">
      <c r="A180" s="33"/>
      <c r="B180" s="34"/>
      <c r="C180" s="35"/>
      <c r="D180" s="34"/>
      <c r="E180" s="34"/>
      <c r="F180" s="34"/>
      <c r="G180" s="34"/>
      <c r="H180" s="34"/>
      <c r="I180" s="33"/>
      <c r="J180" s="34"/>
      <c r="K180" s="35"/>
      <c r="L180" s="34"/>
      <c r="M180" s="35"/>
      <c r="N180" s="34"/>
      <c r="O180" s="35" t="s">
        <v>164</v>
      </c>
      <c r="P180" s="35" t="s">
        <v>2707</v>
      </c>
    </row>
    <row r="181" spans="1:16" ht="409.6" customHeight="1" x14ac:dyDescent="0.25">
      <c r="A181" s="33"/>
      <c r="B181" s="34"/>
      <c r="C181" s="35"/>
      <c r="D181" s="34"/>
      <c r="E181" s="34"/>
      <c r="F181" s="34"/>
      <c r="G181" s="34"/>
      <c r="H181" s="34"/>
      <c r="I181" s="33"/>
      <c r="J181" s="34"/>
      <c r="K181" s="35"/>
      <c r="L181" s="34"/>
      <c r="M181" s="35"/>
      <c r="N181" s="34"/>
      <c r="O181" s="35" t="s">
        <v>164</v>
      </c>
      <c r="P181" s="35" t="s">
        <v>2708</v>
      </c>
    </row>
    <row r="182" spans="1:16" ht="409.6" customHeight="1" x14ac:dyDescent="0.25">
      <c r="A182" s="33"/>
      <c r="B182" s="34"/>
      <c r="C182" s="35"/>
      <c r="D182" s="34"/>
      <c r="E182" s="34"/>
      <c r="F182" s="34"/>
      <c r="G182" s="34"/>
      <c r="H182" s="34"/>
      <c r="I182" s="33"/>
      <c r="J182" s="34"/>
      <c r="K182" s="35"/>
      <c r="L182" s="34"/>
      <c r="M182" s="35"/>
      <c r="N182" s="34"/>
      <c r="O182" s="35" t="s">
        <v>164</v>
      </c>
      <c r="P182" s="35" t="s">
        <v>2708</v>
      </c>
    </row>
    <row r="183" spans="1:16" ht="409.6" customHeight="1" x14ac:dyDescent="0.25">
      <c r="A183" s="33"/>
      <c r="B183" s="34"/>
      <c r="C183" s="35"/>
      <c r="D183" s="34"/>
      <c r="E183" s="34"/>
      <c r="F183" s="34"/>
      <c r="G183" s="34"/>
      <c r="H183" s="34"/>
      <c r="I183" s="33"/>
      <c r="J183" s="34"/>
      <c r="K183" s="35"/>
      <c r="L183" s="34"/>
      <c r="M183" s="35"/>
      <c r="N183" s="34"/>
      <c r="O183" s="35" t="s">
        <v>164</v>
      </c>
      <c r="P183" s="35" t="s">
        <v>2709</v>
      </c>
    </row>
    <row r="184" spans="1:16" ht="409.6" customHeight="1" x14ac:dyDescent="0.25">
      <c r="A184" s="33"/>
      <c r="B184" s="34"/>
      <c r="C184" s="35"/>
      <c r="D184" s="34"/>
      <c r="E184" s="34"/>
      <c r="F184" s="34"/>
      <c r="G184" s="34"/>
      <c r="H184" s="34"/>
      <c r="I184" s="33"/>
      <c r="J184" s="34"/>
      <c r="K184" s="35"/>
      <c r="L184" s="34"/>
      <c r="M184" s="35"/>
      <c r="N184" s="34"/>
      <c r="O184" s="35" t="s">
        <v>164</v>
      </c>
      <c r="P184" s="35" t="s">
        <v>2709</v>
      </c>
    </row>
    <row r="185" spans="1:16" ht="409.6" customHeight="1" x14ac:dyDescent="0.25">
      <c r="A185" s="33"/>
      <c r="B185" s="34"/>
      <c r="C185" s="35"/>
      <c r="D185" s="34"/>
      <c r="E185" s="34"/>
      <c r="F185" s="34"/>
      <c r="G185" s="34"/>
      <c r="H185" s="34"/>
      <c r="I185" s="33"/>
      <c r="J185" s="34"/>
      <c r="K185" s="35"/>
      <c r="L185" s="34"/>
      <c r="M185" s="35"/>
      <c r="N185" s="34"/>
      <c r="O185" s="35" t="s">
        <v>816</v>
      </c>
      <c r="P185" s="35" t="s">
        <v>2710</v>
      </c>
    </row>
    <row r="186" spans="1:16" ht="409.6" customHeight="1" x14ac:dyDescent="0.25">
      <c r="A186" s="33"/>
      <c r="B186" s="34"/>
      <c r="C186" s="35"/>
      <c r="D186" s="34"/>
      <c r="E186" s="34"/>
      <c r="F186" s="34"/>
      <c r="G186" s="34"/>
      <c r="H186" s="34"/>
      <c r="I186" s="33"/>
      <c r="J186" s="34"/>
      <c r="K186" s="35"/>
      <c r="L186" s="34"/>
      <c r="M186" s="35"/>
      <c r="N186" s="34"/>
      <c r="O186" s="35" t="s">
        <v>816</v>
      </c>
      <c r="P186" s="35" t="s">
        <v>2710</v>
      </c>
    </row>
    <row r="187" spans="1:16" ht="409.6" customHeight="1" x14ac:dyDescent="0.25">
      <c r="A187" s="33"/>
      <c r="B187" s="34"/>
      <c r="C187" s="35"/>
      <c r="D187" s="34"/>
      <c r="E187" s="34"/>
      <c r="F187" s="34"/>
      <c r="G187" s="34"/>
      <c r="H187" s="34"/>
      <c r="I187" s="33"/>
      <c r="J187" s="34"/>
      <c r="K187" s="35"/>
      <c r="L187" s="34"/>
      <c r="M187" s="35"/>
      <c r="N187" s="34"/>
      <c r="O187" s="35" t="s">
        <v>816</v>
      </c>
      <c r="P187" s="35" t="s">
        <v>2710</v>
      </c>
    </row>
    <row r="188" spans="1:16" ht="409.6" customHeight="1" x14ac:dyDescent="0.25">
      <c r="A188" s="33"/>
      <c r="B188" s="34"/>
      <c r="C188" s="35"/>
      <c r="D188" s="34"/>
      <c r="E188" s="34"/>
      <c r="F188" s="34"/>
      <c r="G188" s="34"/>
      <c r="H188" s="34"/>
      <c r="I188" s="33"/>
      <c r="J188" s="34"/>
      <c r="K188" s="35"/>
      <c r="L188" s="34"/>
      <c r="M188" s="35"/>
      <c r="N188" s="34"/>
      <c r="O188" s="35" t="s">
        <v>816</v>
      </c>
      <c r="P188" s="35" t="s">
        <v>2710</v>
      </c>
    </row>
    <row r="189" spans="1:16" ht="409.6" customHeight="1" x14ac:dyDescent="0.25">
      <c r="A189" s="33"/>
      <c r="B189" s="34"/>
      <c r="C189" s="35"/>
      <c r="D189" s="34"/>
      <c r="E189" s="34"/>
      <c r="F189" s="34"/>
      <c r="G189" s="34"/>
      <c r="H189" s="34"/>
      <c r="I189" s="33"/>
      <c r="J189" s="34"/>
      <c r="K189" s="35"/>
      <c r="L189" s="34"/>
      <c r="M189" s="35"/>
      <c r="N189" s="34"/>
      <c r="O189" s="35" t="s">
        <v>816</v>
      </c>
      <c r="P189" s="35" t="s">
        <v>2710</v>
      </c>
    </row>
    <row r="190" spans="1:16" ht="409.6" customHeight="1" x14ac:dyDescent="0.25">
      <c r="A190" s="33"/>
      <c r="B190" s="34"/>
      <c r="C190" s="35"/>
      <c r="D190" s="34"/>
      <c r="E190" s="34"/>
      <c r="F190" s="34"/>
      <c r="G190" s="34"/>
      <c r="H190" s="34"/>
      <c r="I190" s="33"/>
      <c r="J190" s="34"/>
      <c r="K190" s="35"/>
      <c r="L190" s="34"/>
      <c r="M190" s="35"/>
      <c r="N190" s="34"/>
      <c r="O190" s="35" t="s">
        <v>816</v>
      </c>
      <c r="P190" s="35" t="s">
        <v>2710</v>
      </c>
    </row>
    <row r="191" spans="1:16" ht="409.6" customHeight="1" x14ac:dyDescent="0.25">
      <c r="A191" s="33"/>
      <c r="B191" s="34"/>
      <c r="C191" s="35"/>
      <c r="D191" s="34"/>
      <c r="E191" s="34"/>
      <c r="F191" s="34"/>
      <c r="G191" s="34"/>
      <c r="H191" s="34"/>
      <c r="I191" s="33"/>
      <c r="J191" s="34"/>
      <c r="K191" s="35"/>
      <c r="L191" s="34"/>
      <c r="M191" s="35"/>
      <c r="N191" s="34"/>
      <c r="O191" s="35" t="s">
        <v>816</v>
      </c>
      <c r="P191" s="35" t="s">
        <v>2710</v>
      </c>
    </row>
    <row r="192" spans="1:16" ht="409.6" customHeight="1" x14ac:dyDescent="0.25">
      <c r="A192" s="33"/>
      <c r="B192" s="34"/>
      <c r="C192" s="35"/>
      <c r="D192" s="34"/>
      <c r="E192" s="34"/>
      <c r="F192" s="34"/>
      <c r="G192" s="34"/>
      <c r="H192" s="34"/>
      <c r="I192" s="33"/>
      <c r="J192" s="34"/>
      <c r="K192" s="35"/>
      <c r="L192" s="34"/>
      <c r="M192" s="35"/>
      <c r="N192" s="34"/>
      <c r="O192" s="35" t="s">
        <v>816</v>
      </c>
      <c r="P192" s="35" t="s">
        <v>2710</v>
      </c>
    </row>
    <row r="193" spans="1:16" ht="409.6" customHeight="1" x14ac:dyDescent="0.25">
      <c r="A193" s="33"/>
      <c r="B193" s="34"/>
      <c r="C193" s="35"/>
      <c r="D193" s="34"/>
      <c r="E193" s="34"/>
      <c r="F193" s="34"/>
      <c r="G193" s="34"/>
      <c r="H193" s="34"/>
      <c r="I193" s="33"/>
      <c r="J193" s="34"/>
      <c r="K193" s="35"/>
      <c r="L193" s="34"/>
      <c r="M193" s="35"/>
      <c r="N193" s="34"/>
      <c r="O193" s="35" t="s">
        <v>816</v>
      </c>
      <c r="P193" s="35" t="s">
        <v>2710</v>
      </c>
    </row>
    <row r="194" spans="1:16" ht="409.6" customHeight="1" x14ac:dyDescent="0.25">
      <c r="A194" s="33"/>
      <c r="B194" s="34"/>
      <c r="C194" s="35"/>
      <c r="D194" s="34"/>
      <c r="E194" s="34"/>
      <c r="F194" s="34"/>
      <c r="G194" s="34"/>
      <c r="H194" s="34"/>
      <c r="I194" s="33"/>
      <c r="J194" s="34"/>
      <c r="K194" s="35"/>
      <c r="L194" s="34"/>
      <c r="M194" s="35"/>
      <c r="N194" s="34"/>
      <c r="O194" s="35" t="s">
        <v>816</v>
      </c>
      <c r="P194" s="35" t="s">
        <v>2710</v>
      </c>
    </row>
    <row r="195" spans="1:16" ht="409.6" customHeight="1" x14ac:dyDescent="0.25">
      <c r="A195" s="33"/>
      <c r="B195" s="34"/>
      <c r="C195" s="35"/>
      <c r="D195" s="34"/>
      <c r="E195" s="34"/>
      <c r="F195" s="34"/>
      <c r="G195" s="34"/>
      <c r="H195" s="34"/>
      <c r="I195" s="33"/>
      <c r="J195" s="34"/>
      <c r="K195" s="35"/>
      <c r="L195" s="34"/>
      <c r="M195" s="35"/>
      <c r="N195" s="34"/>
      <c r="O195" s="35" t="s">
        <v>816</v>
      </c>
      <c r="P195" s="35" t="s">
        <v>2710</v>
      </c>
    </row>
    <row r="196" spans="1:16" ht="409.6" customHeight="1" x14ac:dyDescent="0.25">
      <c r="A196" s="33"/>
      <c r="B196" s="34"/>
      <c r="C196" s="35"/>
      <c r="D196" s="34"/>
      <c r="E196" s="34"/>
      <c r="F196" s="34"/>
      <c r="G196" s="34"/>
      <c r="H196" s="34"/>
      <c r="I196" s="33"/>
      <c r="J196" s="34"/>
      <c r="K196" s="35"/>
      <c r="L196" s="34"/>
      <c r="M196" s="35"/>
      <c r="N196" s="34"/>
      <c r="O196" s="35" t="s">
        <v>816</v>
      </c>
      <c r="P196" s="35" t="s">
        <v>2710</v>
      </c>
    </row>
    <row r="197" spans="1:16" ht="409.6" customHeight="1" x14ac:dyDescent="0.25">
      <c r="A197" s="33"/>
      <c r="B197" s="34"/>
      <c r="C197" s="35"/>
      <c r="D197" s="34"/>
      <c r="E197" s="34"/>
      <c r="F197" s="34"/>
      <c r="G197" s="34"/>
      <c r="H197" s="34"/>
      <c r="I197" s="33"/>
      <c r="J197" s="34"/>
      <c r="K197" s="35"/>
      <c r="L197" s="34"/>
      <c r="M197" s="35"/>
      <c r="N197" s="34"/>
      <c r="O197" s="35" t="s">
        <v>816</v>
      </c>
      <c r="P197" s="35" t="s">
        <v>2710</v>
      </c>
    </row>
    <row r="198" spans="1:16" ht="409.6" customHeight="1" x14ac:dyDescent="0.25">
      <c r="A198" s="33"/>
      <c r="B198" s="34"/>
      <c r="C198" s="35"/>
      <c r="D198" s="34"/>
      <c r="E198" s="34"/>
      <c r="F198" s="34"/>
      <c r="G198" s="34"/>
      <c r="H198" s="34"/>
      <c r="I198" s="33"/>
      <c r="J198" s="34"/>
      <c r="K198" s="35"/>
      <c r="L198" s="34"/>
      <c r="M198" s="35"/>
      <c r="N198" s="34"/>
      <c r="O198" s="35" t="s">
        <v>816</v>
      </c>
      <c r="P198" s="35" t="s">
        <v>2710</v>
      </c>
    </row>
    <row r="199" spans="1:16" ht="409.6" customHeight="1" x14ac:dyDescent="0.25">
      <c r="A199" s="33"/>
      <c r="B199" s="34"/>
      <c r="C199" s="35"/>
      <c r="D199" s="34"/>
      <c r="E199" s="34"/>
      <c r="F199" s="34"/>
      <c r="G199" s="34"/>
      <c r="H199" s="34"/>
      <c r="I199" s="33"/>
      <c r="J199" s="34"/>
      <c r="K199" s="35"/>
      <c r="L199" s="34"/>
      <c r="M199" s="35"/>
      <c r="N199" s="34"/>
      <c r="O199" s="35" t="s">
        <v>816</v>
      </c>
      <c r="P199" s="35" t="s">
        <v>2710</v>
      </c>
    </row>
    <row r="200" spans="1:16" ht="409.6" customHeight="1" x14ac:dyDescent="0.25">
      <c r="A200" s="33"/>
      <c r="B200" s="34"/>
      <c r="C200" s="35"/>
      <c r="D200" s="34"/>
      <c r="E200" s="34"/>
      <c r="F200" s="34"/>
      <c r="G200" s="34"/>
      <c r="H200" s="34"/>
      <c r="I200" s="33"/>
      <c r="J200" s="34"/>
      <c r="K200" s="35"/>
      <c r="L200" s="34"/>
      <c r="M200" s="35"/>
      <c r="N200" s="34"/>
      <c r="O200" s="35" t="s">
        <v>816</v>
      </c>
      <c r="P200" s="35" t="s">
        <v>2710</v>
      </c>
    </row>
    <row r="201" spans="1:16" ht="409.6" customHeight="1" x14ac:dyDescent="0.25">
      <c r="A201" s="33"/>
      <c r="B201" s="34"/>
      <c r="C201" s="35"/>
      <c r="D201" s="34"/>
      <c r="E201" s="34"/>
      <c r="F201" s="34"/>
      <c r="G201" s="34"/>
      <c r="H201" s="34"/>
      <c r="I201" s="33"/>
      <c r="J201" s="34"/>
      <c r="K201" s="35"/>
      <c r="L201" s="34"/>
      <c r="M201" s="35"/>
      <c r="N201" s="34"/>
      <c r="O201" s="35" t="s">
        <v>816</v>
      </c>
      <c r="P201" s="35" t="s">
        <v>2710</v>
      </c>
    </row>
    <row r="202" spans="1:16" ht="409.6" customHeight="1" x14ac:dyDescent="0.25">
      <c r="A202" s="33"/>
      <c r="B202" s="34"/>
      <c r="C202" s="35"/>
      <c r="D202" s="34"/>
      <c r="E202" s="34"/>
      <c r="F202" s="34"/>
      <c r="G202" s="34"/>
      <c r="H202" s="34"/>
      <c r="I202" s="33"/>
      <c r="J202" s="34"/>
      <c r="K202" s="35"/>
      <c r="L202" s="34"/>
      <c r="M202" s="35"/>
      <c r="N202" s="34"/>
      <c r="O202" s="35" t="s">
        <v>816</v>
      </c>
      <c r="P202" s="35" t="s">
        <v>2710</v>
      </c>
    </row>
    <row r="203" spans="1:16" ht="409.6" customHeight="1" x14ac:dyDescent="0.25">
      <c r="A203" s="33"/>
      <c r="B203" s="34"/>
      <c r="C203" s="35"/>
      <c r="D203" s="34"/>
      <c r="E203" s="34"/>
      <c r="F203" s="34"/>
      <c r="G203" s="34"/>
      <c r="H203" s="34"/>
      <c r="I203" s="33"/>
      <c r="J203" s="34"/>
      <c r="K203" s="35"/>
      <c r="L203" s="34"/>
      <c r="M203" s="35"/>
      <c r="N203" s="34"/>
      <c r="O203" s="35" t="s">
        <v>816</v>
      </c>
      <c r="P203" s="35" t="s">
        <v>2710</v>
      </c>
    </row>
    <row r="204" spans="1:16" ht="409.6" customHeight="1" x14ac:dyDescent="0.25">
      <c r="A204" s="33"/>
      <c r="B204" s="34"/>
      <c r="C204" s="35"/>
      <c r="D204" s="34"/>
      <c r="E204" s="34"/>
      <c r="F204" s="34"/>
      <c r="G204" s="34"/>
      <c r="H204" s="34"/>
      <c r="I204" s="33"/>
      <c r="J204" s="34"/>
      <c r="K204" s="35"/>
      <c r="L204" s="34"/>
      <c r="M204" s="35"/>
      <c r="N204" s="34"/>
      <c r="O204" s="35" t="s">
        <v>816</v>
      </c>
      <c r="P204" s="35" t="s">
        <v>2710</v>
      </c>
    </row>
    <row r="205" spans="1:16" ht="409.6" customHeight="1" x14ac:dyDescent="0.25">
      <c r="A205" s="33"/>
      <c r="B205" s="34"/>
      <c r="C205" s="35"/>
      <c r="D205" s="34"/>
      <c r="E205" s="34"/>
      <c r="F205" s="34"/>
      <c r="G205" s="34"/>
      <c r="H205" s="34"/>
      <c r="I205" s="33"/>
      <c r="J205" s="34"/>
      <c r="K205" s="35"/>
      <c r="L205" s="34"/>
      <c r="M205" s="35"/>
      <c r="N205" s="34"/>
      <c r="O205" s="35" t="s">
        <v>816</v>
      </c>
      <c r="P205" s="35" t="s">
        <v>2710</v>
      </c>
    </row>
    <row r="206" spans="1:16" ht="409.6" customHeight="1" x14ac:dyDescent="0.25">
      <c r="A206" s="33"/>
      <c r="B206" s="34"/>
      <c r="C206" s="35"/>
      <c r="D206" s="34"/>
      <c r="E206" s="34"/>
      <c r="F206" s="34"/>
      <c r="G206" s="34"/>
      <c r="H206" s="34"/>
      <c r="I206" s="33"/>
      <c r="J206" s="34"/>
      <c r="K206" s="35"/>
      <c r="L206" s="34"/>
      <c r="M206" s="35"/>
      <c r="N206" s="34"/>
      <c r="O206" s="35" t="s">
        <v>816</v>
      </c>
      <c r="P206" s="35" t="s">
        <v>2710</v>
      </c>
    </row>
    <row r="207" spans="1:16" ht="409.6" customHeight="1" x14ac:dyDescent="0.25">
      <c r="A207" s="33"/>
      <c r="B207" s="34"/>
      <c r="C207" s="35"/>
      <c r="D207" s="34"/>
      <c r="E207" s="34"/>
      <c r="F207" s="34"/>
      <c r="G207" s="34"/>
      <c r="H207" s="34"/>
      <c r="I207" s="33"/>
      <c r="J207" s="34"/>
      <c r="K207" s="35"/>
      <c r="L207" s="34"/>
      <c r="M207" s="35"/>
      <c r="N207" s="34"/>
      <c r="O207" s="35" t="s">
        <v>816</v>
      </c>
      <c r="P207" s="35" t="s">
        <v>2710</v>
      </c>
    </row>
    <row r="208" spans="1:16" ht="409.6" customHeight="1" x14ac:dyDescent="0.25">
      <c r="A208" s="33"/>
      <c r="B208" s="34"/>
      <c r="C208" s="35"/>
      <c r="D208" s="34"/>
      <c r="E208" s="34"/>
      <c r="F208" s="34"/>
      <c r="G208" s="34"/>
      <c r="H208" s="34"/>
      <c r="I208" s="33"/>
      <c r="J208" s="34"/>
      <c r="K208" s="35"/>
      <c r="L208" s="34"/>
      <c r="M208" s="35"/>
      <c r="N208" s="34"/>
      <c r="O208" s="35" t="s">
        <v>816</v>
      </c>
      <c r="P208" s="35" t="s">
        <v>2710</v>
      </c>
    </row>
    <row r="209" spans="1:16" ht="409.6" customHeight="1" x14ac:dyDescent="0.25">
      <c r="A209" s="33"/>
      <c r="B209" s="34"/>
      <c r="C209" s="35"/>
      <c r="D209" s="34"/>
      <c r="E209" s="34"/>
      <c r="F209" s="34"/>
      <c r="G209" s="34"/>
      <c r="H209" s="34"/>
      <c r="I209" s="33"/>
      <c r="J209" s="34"/>
      <c r="K209" s="35"/>
      <c r="L209" s="34"/>
      <c r="M209" s="35"/>
      <c r="N209" s="34"/>
      <c r="O209" s="35" t="s">
        <v>816</v>
      </c>
      <c r="P209" s="35" t="s">
        <v>2710</v>
      </c>
    </row>
    <row r="210" spans="1:16" ht="409.6" customHeight="1" x14ac:dyDescent="0.25">
      <c r="A210" s="33"/>
      <c r="B210" s="34"/>
      <c r="C210" s="35"/>
      <c r="D210" s="34"/>
      <c r="E210" s="34"/>
      <c r="F210" s="34"/>
      <c r="G210" s="34"/>
      <c r="H210" s="34"/>
      <c r="I210" s="33"/>
      <c r="J210" s="34"/>
      <c r="K210" s="35"/>
      <c r="L210" s="34"/>
      <c r="M210" s="35"/>
      <c r="N210" s="34"/>
      <c r="O210" s="35" t="s">
        <v>816</v>
      </c>
      <c r="P210" s="35" t="s">
        <v>2710</v>
      </c>
    </row>
    <row r="211" spans="1:16" ht="409.6" customHeight="1" x14ac:dyDescent="0.25">
      <c r="A211" s="33"/>
      <c r="B211" s="34"/>
      <c r="C211" s="35"/>
      <c r="D211" s="34"/>
      <c r="E211" s="34"/>
      <c r="F211" s="34"/>
      <c r="G211" s="34"/>
      <c r="H211" s="34"/>
      <c r="I211" s="33"/>
      <c r="J211" s="34"/>
      <c r="K211" s="35"/>
      <c r="L211" s="34"/>
      <c r="M211" s="35"/>
      <c r="N211" s="34"/>
      <c r="O211" s="35" t="s">
        <v>816</v>
      </c>
      <c r="P211" s="35" t="s">
        <v>2710</v>
      </c>
    </row>
    <row r="212" spans="1:16" ht="409.6" customHeight="1" x14ac:dyDescent="0.25">
      <c r="A212" s="33"/>
      <c r="B212" s="34"/>
      <c r="C212" s="35"/>
      <c r="D212" s="34"/>
      <c r="E212" s="34"/>
      <c r="F212" s="34"/>
      <c r="G212" s="34"/>
      <c r="H212" s="34"/>
      <c r="I212" s="33"/>
      <c r="J212" s="34"/>
      <c r="K212" s="35"/>
      <c r="L212" s="34"/>
      <c r="M212" s="35"/>
      <c r="N212" s="34"/>
      <c r="O212" s="35" t="s">
        <v>816</v>
      </c>
      <c r="P212" s="35" t="s">
        <v>2710</v>
      </c>
    </row>
    <row r="213" spans="1:16" ht="409.6" customHeight="1" x14ac:dyDescent="0.25">
      <c r="A213" s="33"/>
      <c r="B213" s="34"/>
      <c r="C213" s="35"/>
      <c r="D213" s="34"/>
      <c r="E213" s="34"/>
      <c r="F213" s="34"/>
      <c r="G213" s="34"/>
      <c r="H213" s="34"/>
      <c r="I213" s="33"/>
      <c r="J213" s="34"/>
      <c r="K213" s="35"/>
      <c r="L213" s="34"/>
      <c r="M213" s="35"/>
      <c r="N213" s="34"/>
      <c r="O213" s="35" t="s">
        <v>816</v>
      </c>
      <c r="P213" s="35" t="s">
        <v>2710</v>
      </c>
    </row>
    <row r="214" spans="1:16" ht="409.6" customHeight="1" x14ac:dyDescent="0.25">
      <c r="A214" s="33"/>
      <c r="B214" s="34"/>
      <c r="C214" s="35"/>
      <c r="D214" s="34"/>
      <c r="E214" s="34"/>
      <c r="F214" s="34"/>
      <c r="G214" s="34"/>
      <c r="H214" s="34"/>
      <c r="I214" s="33"/>
      <c r="J214" s="34"/>
      <c r="K214" s="35"/>
      <c r="L214" s="34"/>
      <c r="M214" s="35"/>
      <c r="N214" s="34"/>
      <c r="O214" s="35" t="s">
        <v>816</v>
      </c>
      <c r="P214" s="35" t="s">
        <v>2710</v>
      </c>
    </row>
    <row r="215" spans="1:16" ht="409.6" customHeight="1" x14ac:dyDescent="0.25">
      <c r="A215" s="33"/>
      <c r="B215" s="34"/>
      <c r="C215" s="35"/>
      <c r="D215" s="34"/>
      <c r="E215" s="34"/>
      <c r="F215" s="34"/>
      <c r="G215" s="34"/>
      <c r="H215" s="34"/>
      <c r="I215" s="33"/>
      <c r="J215" s="34"/>
      <c r="K215" s="35"/>
      <c r="L215" s="34"/>
      <c r="M215" s="35"/>
      <c r="N215" s="34"/>
      <c r="O215" s="35" t="s">
        <v>816</v>
      </c>
      <c r="P215" s="35" t="s">
        <v>2710</v>
      </c>
    </row>
    <row r="216" spans="1:16" ht="409.6" customHeight="1" x14ac:dyDescent="0.25">
      <c r="A216" s="33"/>
      <c r="B216" s="34"/>
      <c r="C216" s="35"/>
      <c r="D216" s="34"/>
      <c r="E216" s="34"/>
      <c r="F216" s="34"/>
      <c r="G216" s="34"/>
      <c r="H216" s="34"/>
      <c r="I216" s="33"/>
      <c r="J216" s="34"/>
      <c r="K216" s="35"/>
      <c r="L216" s="34"/>
      <c r="M216" s="35"/>
      <c r="N216" s="34"/>
      <c r="O216" s="35" t="s">
        <v>816</v>
      </c>
      <c r="P216" s="35" t="s">
        <v>2710</v>
      </c>
    </row>
    <row r="217" spans="1:16" ht="409.6" customHeight="1" x14ac:dyDescent="0.25">
      <c r="A217" s="33"/>
      <c r="B217" s="34"/>
      <c r="C217" s="35"/>
      <c r="D217" s="34"/>
      <c r="E217" s="34"/>
      <c r="F217" s="34"/>
      <c r="G217" s="34"/>
      <c r="H217" s="34"/>
      <c r="I217" s="33"/>
      <c r="J217" s="34"/>
      <c r="K217" s="35"/>
      <c r="L217" s="34"/>
      <c r="M217" s="35"/>
      <c r="N217" s="34"/>
      <c r="O217" s="35" t="s">
        <v>816</v>
      </c>
      <c r="P217" s="35" t="s">
        <v>2710</v>
      </c>
    </row>
    <row r="218" spans="1:16" ht="409.6" customHeight="1" x14ac:dyDescent="0.25">
      <c r="A218" s="33"/>
      <c r="B218" s="34"/>
      <c r="C218" s="35"/>
      <c r="D218" s="34"/>
      <c r="E218" s="34"/>
      <c r="F218" s="34"/>
      <c r="G218" s="34"/>
      <c r="H218" s="34"/>
      <c r="I218" s="33"/>
      <c r="J218" s="34"/>
      <c r="K218" s="35"/>
      <c r="L218" s="34"/>
      <c r="M218" s="35"/>
      <c r="N218" s="34"/>
      <c r="O218" s="35" t="s">
        <v>816</v>
      </c>
      <c r="P218" s="35" t="s">
        <v>2710</v>
      </c>
    </row>
    <row r="219" spans="1:16" ht="409.6" customHeight="1" x14ac:dyDescent="0.25">
      <c r="A219" s="33"/>
      <c r="B219" s="34"/>
      <c r="C219" s="35"/>
      <c r="D219" s="34"/>
      <c r="E219" s="34"/>
      <c r="F219" s="34"/>
      <c r="G219" s="34"/>
      <c r="H219" s="34"/>
      <c r="I219" s="33"/>
      <c r="J219" s="34"/>
      <c r="K219" s="35"/>
      <c r="L219" s="34"/>
      <c r="M219" s="35"/>
      <c r="N219" s="34"/>
      <c r="O219" s="35" t="s">
        <v>816</v>
      </c>
      <c r="P219" s="35" t="s">
        <v>2711</v>
      </c>
    </row>
    <row r="220" spans="1:16" ht="409.6" customHeight="1" x14ac:dyDescent="0.25">
      <c r="A220" s="33"/>
      <c r="B220" s="34"/>
      <c r="C220" s="35"/>
      <c r="D220" s="34"/>
      <c r="E220" s="34"/>
      <c r="F220" s="34"/>
      <c r="G220" s="34"/>
      <c r="H220" s="34"/>
      <c r="I220" s="33"/>
      <c r="J220" s="34"/>
      <c r="K220" s="35"/>
      <c r="L220" s="34"/>
      <c r="M220" s="35"/>
      <c r="N220" s="34"/>
      <c r="O220" s="35" t="s">
        <v>816</v>
      </c>
      <c r="P220" s="35" t="s">
        <v>2711</v>
      </c>
    </row>
    <row r="221" spans="1:16" ht="409.6" customHeight="1" x14ac:dyDescent="0.25">
      <c r="A221" s="33"/>
      <c r="B221" s="34"/>
      <c r="C221" s="35"/>
      <c r="D221" s="34"/>
      <c r="E221" s="34"/>
      <c r="F221" s="34"/>
      <c r="G221" s="34"/>
      <c r="H221" s="34"/>
      <c r="I221" s="33"/>
      <c r="J221" s="34"/>
      <c r="K221" s="35"/>
      <c r="L221" s="34"/>
      <c r="M221" s="35"/>
      <c r="N221" s="34"/>
      <c r="O221" s="35" t="s">
        <v>816</v>
      </c>
      <c r="P221" s="35" t="s">
        <v>2711</v>
      </c>
    </row>
    <row r="222" spans="1:16" ht="409.6" customHeight="1" x14ac:dyDescent="0.25">
      <c r="A222" s="33"/>
      <c r="B222" s="34"/>
      <c r="C222" s="35"/>
      <c r="D222" s="34"/>
      <c r="E222" s="34"/>
      <c r="F222" s="34"/>
      <c r="G222" s="34"/>
      <c r="H222" s="34"/>
      <c r="I222" s="33"/>
      <c r="J222" s="34"/>
      <c r="K222" s="35"/>
      <c r="L222" s="34"/>
      <c r="M222" s="35"/>
      <c r="N222" s="34"/>
      <c r="O222" s="35" t="s">
        <v>816</v>
      </c>
      <c r="P222" s="35" t="s">
        <v>2711</v>
      </c>
    </row>
    <row r="223" spans="1:16" ht="409.6" customHeight="1" x14ac:dyDescent="0.25">
      <c r="A223" s="33"/>
      <c r="B223" s="34"/>
      <c r="C223" s="35"/>
      <c r="D223" s="34"/>
      <c r="E223" s="34"/>
      <c r="F223" s="34"/>
      <c r="G223" s="34"/>
      <c r="H223" s="34"/>
      <c r="I223" s="33"/>
      <c r="J223" s="34"/>
      <c r="K223" s="35"/>
      <c r="L223" s="34"/>
      <c r="M223" s="35"/>
      <c r="N223" s="34"/>
      <c r="O223" s="35" t="s">
        <v>816</v>
      </c>
      <c r="P223" s="35" t="s">
        <v>2711</v>
      </c>
    </row>
    <row r="224" spans="1:16" ht="409.6" customHeight="1" x14ac:dyDescent="0.25">
      <c r="A224" s="33"/>
      <c r="B224" s="34"/>
      <c r="C224" s="35"/>
      <c r="D224" s="34"/>
      <c r="E224" s="34"/>
      <c r="F224" s="34"/>
      <c r="G224" s="34"/>
      <c r="H224" s="34"/>
      <c r="I224" s="33"/>
      <c r="J224" s="34"/>
      <c r="K224" s="35"/>
      <c r="L224" s="34"/>
      <c r="M224" s="35"/>
      <c r="N224" s="34"/>
      <c r="O224" s="35" t="s">
        <v>816</v>
      </c>
      <c r="P224" s="35" t="s">
        <v>2711</v>
      </c>
    </row>
    <row r="225" spans="1:16" ht="409.6" customHeight="1" x14ac:dyDescent="0.25">
      <c r="A225" s="33"/>
      <c r="B225" s="34"/>
      <c r="C225" s="35"/>
      <c r="D225" s="34"/>
      <c r="E225" s="34"/>
      <c r="F225" s="34"/>
      <c r="G225" s="34"/>
      <c r="H225" s="34"/>
      <c r="I225" s="33"/>
      <c r="J225" s="34"/>
      <c r="K225" s="35"/>
      <c r="L225" s="34"/>
      <c r="M225" s="35"/>
      <c r="N225" s="34"/>
      <c r="O225" s="35" t="s">
        <v>816</v>
      </c>
      <c r="P225" s="35" t="s">
        <v>2711</v>
      </c>
    </row>
    <row r="226" spans="1:16" ht="409.6" customHeight="1" x14ac:dyDescent="0.25">
      <c r="A226" s="33"/>
      <c r="B226" s="34"/>
      <c r="C226" s="35"/>
      <c r="D226" s="34"/>
      <c r="E226" s="34"/>
      <c r="F226" s="34"/>
      <c r="G226" s="34"/>
      <c r="H226" s="34"/>
      <c r="I226" s="33"/>
      <c r="J226" s="34"/>
      <c r="K226" s="35"/>
      <c r="L226" s="34"/>
      <c r="M226" s="35"/>
      <c r="N226" s="34"/>
      <c r="O226" s="35" t="s">
        <v>816</v>
      </c>
      <c r="P226" s="35" t="s">
        <v>2711</v>
      </c>
    </row>
    <row r="227" spans="1:16" ht="409.6" customHeight="1" x14ac:dyDescent="0.25">
      <c r="A227" s="33"/>
      <c r="B227" s="34"/>
      <c r="C227" s="35"/>
      <c r="D227" s="34"/>
      <c r="E227" s="34"/>
      <c r="F227" s="34"/>
      <c r="G227" s="34"/>
      <c r="H227" s="34"/>
      <c r="I227" s="33"/>
      <c r="J227" s="34"/>
      <c r="K227" s="35"/>
      <c r="L227" s="34"/>
      <c r="M227" s="35"/>
      <c r="N227" s="34"/>
      <c r="O227" s="35" t="s">
        <v>816</v>
      </c>
      <c r="P227" s="35" t="s">
        <v>2711</v>
      </c>
    </row>
    <row r="228" spans="1:16" ht="409.6" customHeight="1" x14ac:dyDescent="0.25">
      <c r="A228" s="33"/>
      <c r="B228" s="34"/>
      <c r="C228" s="35"/>
      <c r="D228" s="34"/>
      <c r="E228" s="34"/>
      <c r="F228" s="34"/>
      <c r="G228" s="34"/>
      <c r="H228" s="34"/>
      <c r="I228" s="33"/>
      <c r="J228" s="34"/>
      <c r="K228" s="35"/>
      <c r="L228" s="34"/>
      <c r="M228" s="35"/>
      <c r="N228" s="34"/>
      <c r="O228" s="35" t="s">
        <v>816</v>
      </c>
      <c r="P228" s="35" t="s">
        <v>2711</v>
      </c>
    </row>
    <row r="229" spans="1:16" ht="409.6" customHeight="1" x14ac:dyDescent="0.25">
      <c r="A229" s="33"/>
      <c r="B229" s="34"/>
      <c r="C229" s="35"/>
      <c r="D229" s="34"/>
      <c r="E229" s="34"/>
      <c r="F229" s="34"/>
      <c r="G229" s="34"/>
      <c r="H229" s="34"/>
      <c r="I229" s="33"/>
      <c r="J229" s="34"/>
      <c r="K229" s="35"/>
      <c r="L229" s="34"/>
      <c r="M229" s="35"/>
      <c r="N229" s="34"/>
      <c r="O229" s="35" t="s">
        <v>816</v>
      </c>
      <c r="P229" s="35" t="s">
        <v>2711</v>
      </c>
    </row>
    <row r="230" spans="1:16" ht="409.6" customHeight="1" x14ac:dyDescent="0.25">
      <c r="A230" s="33"/>
      <c r="B230" s="34"/>
      <c r="C230" s="35"/>
      <c r="D230" s="34"/>
      <c r="E230" s="34"/>
      <c r="F230" s="34"/>
      <c r="G230" s="34"/>
      <c r="H230" s="34"/>
      <c r="I230" s="33"/>
      <c r="J230" s="34"/>
      <c r="K230" s="35"/>
      <c r="L230" s="34"/>
      <c r="M230" s="35"/>
      <c r="N230" s="34"/>
      <c r="O230" s="35" t="s">
        <v>816</v>
      </c>
      <c r="P230" s="35" t="s">
        <v>2711</v>
      </c>
    </row>
    <row r="231" spans="1:16" ht="409.6" customHeight="1" x14ac:dyDescent="0.25">
      <c r="A231" s="33"/>
      <c r="B231" s="34"/>
      <c r="C231" s="35"/>
      <c r="D231" s="34"/>
      <c r="E231" s="34"/>
      <c r="F231" s="34"/>
      <c r="G231" s="34"/>
      <c r="H231" s="34"/>
      <c r="I231" s="33"/>
      <c r="J231" s="34"/>
      <c r="K231" s="35"/>
      <c r="L231" s="34"/>
      <c r="M231" s="35"/>
      <c r="N231" s="34"/>
      <c r="O231" s="35" t="s">
        <v>816</v>
      </c>
      <c r="P231" s="35" t="s">
        <v>2711</v>
      </c>
    </row>
    <row r="232" spans="1:16" ht="409.6" customHeight="1" x14ac:dyDescent="0.25">
      <c r="A232" s="33"/>
      <c r="B232" s="34"/>
      <c r="C232" s="35"/>
      <c r="D232" s="34"/>
      <c r="E232" s="34"/>
      <c r="F232" s="34"/>
      <c r="G232" s="34"/>
      <c r="H232" s="34"/>
      <c r="I232" s="33"/>
      <c r="J232" s="34"/>
      <c r="K232" s="35"/>
      <c r="L232" s="34"/>
      <c r="M232" s="35"/>
      <c r="N232" s="34"/>
      <c r="O232" s="35" t="s">
        <v>816</v>
      </c>
      <c r="P232" s="35" t="s">
        <v>2711</v>
      </c>
    </row>
    <row r="233" spans="1:16" ht="409.6" customHeight="1" x14ac:dyDescent="0.25">
      <c r="A233" s="33"/>
      <c r="B233" s="34"/>
      <c r="C233" s="35"/>
      <c r="D233" s="34"/>
      <c r="E233" s="34"/>
      <c r="F233" s="34"/>
      <c r="G233" s="34"/>
      <c r="H233" s="34"/>
      <c r="I233" s="33"/>
      <c r="J233" s="34"/>
      <c r="K233" s="35"/>
      <c r="L233" s="34"/>
      <c r="M233" s="35"/>
      <c r="N233" s="34"/>
      <c r="O233" s="35" t="s">
        <v>816</v>
      </c>
      <c r="P233" s="35" t="s">
        <v>2711</v>
      </c>
    </row>
    <row r="234" spans="1:16" ht="409.6" customHeight="1" x14ac:dyDescent="0.25">
      <c r="A234" s="33"/>
      <c r="B234" s="34"/>
      <c r="C234" s="35"/>
      <c r="D234" s="34"/>
      <c r="E234" s="34"/>
      <c r="F234" s="34"/>
      <c r="G234" s="34"/>
      <c r="H234" s="34"/>
      <c r="I234" s="33"/>
      <c r="J234" s="34"/>
      <c r="K234" s="35"/>
      <c r="L234" s="34"/>
      <c r="M234" s="35"/>
      <c r="N234" s="34"/>
      <c r="O234" s="35" t="s">
        <v>816</v>
      </c>
      <c r="P234" s="35" t="s">
        <v>2711</v>
      </c>
    </row>
    <row r="235" spans="1:16" ht="409.6" customHeight="1" x14ac:dyDescent="0.25">
      <c r="A235" s="33"/>
      <c r="B235" s="34"/>
      <c r="C235" s="35"/>
      <c r="D235" s="34"/>
      <c r="E235" s="34"/>
      <c r="F235" s="34"/>
      <c r="G235" s="34"/>
      <c r="H235" s="34"/>
      <c r="I235" s="33"/>
      <c r="J235" s="34"/>
      <c r="K235" s="35"/>
      <c r="L235" s="34"/>
      <c r="M235" s="35"/>
      <c r="N235" s="34"/>
      <c r="O235" s="35" t="s">
        <v>816</v>
      </c>
      <c r="P235" s="35" t="s">
        <v>2711</v>
      </c>
    </row>
    <row r="236" spans="1:16" ht="409.6" customHeight="1" x14ac:dyDescent="0.25">
      <c r="A236" s="33"/>
      <c r="B236" s="34"/>
      <c r="C236" s="35"/>
      <c r="D236" s="34"/>
      <c r="E236" s="34"/>
      <c r="F236" s="34"/>
      <c r="G236" s="34"/>
      <c r="H236" s="34"/>
      <c r="I236" s="33"/>
      <c r="J236" s="34"/>
      <c r="K236" s="35"/>
      <c r="L236" s="34"/>
      <c r="M236" s="35"/>
      <c r="N236" s="34"/>
      <c r="O236" s="35" t="s">
        <v>816</v>
      </c>
      <c r="P236" s="35" t="s">
        <v>2711</v>
      </c>
    </row>
    <row r="237" spans="1:16" ht="409.6" customHeight="1" x14ac:dyDescent="0.25">
      <c r="A237" s="33"/>
      <c r="B237" s="34"/>
      <c r="C237" s="35"/>
      <c r="D237" s="34"/>
      <c r="E237" s="34"/>
      <c r="F237" s="34"/>
      <c r="G237" s="34"/>
      <c r="H237" s="34"/>
      <c r="I237" s="33"/>
      <c r="J237" s="34"/>
      <c r="K237" s="35"/>
      <c r="L237" s="34"/>
      <c r="M237" s="35"/>
      <c r="N237" s="34"/>
      <c r="O237" s="35" t="s">
        <v>816</v>
      </c>
      <c r="P237" s="35" t="s">
        <v>2711</v>
      </c>
    </row>
    <row r="238" spans="1:16" ht="409.6" customHeight="1" x14ac:dyDescent="0.25">
      <c r="A238" s="33"/>
      <c r="B238" s="34"/>
      <c r="C238" s="35"/>
      <c r="D238" s="34"/>
      <c r="E238" s="34"/>
      <c r="F238" s="34"/>
      <c r="G238" s="34"/>
      <c r="H238" s="34"/>
      <c r="I238" s="33"/>
      <c r="J238" s="34"/>
      <c r="K238" s="35"/>
      <c r="L238" s="34"/>
      <c r="M238" s="35"/>
      <c r="N238" s="34"/>
      <c r="O238" s="35" t="s">
        <v>816</v>
      </c>
      <c r="P238" s="35" t="s">
        <v>2711</v>
      </c>
    </row>
    <row r="239" spans="1:16" ht="409.6" customHeight="1" x14ac:dyDescent="0.25">
      <c r="A239" s="33"/>
      <c r="B239" s="34"/>
      <c r="C239" s="35"/>
      <c r="D239" s="34"/>
      <c r="E239" s="34"/>
      <c r="F239" s="34"/>
      <c r="G239" s="34"/>
      <c r="H239" s="34"/>
      <c r="I239" s="33"/>
      <c r="J239" s="34"/>
      <c r="K239" s="35"/>
      <c r="L239" s="34"/>
      <c r="M239" s="35"/>
      <c r="N239" s="34"/>
      <c r="O239" s="35" t="s">
        <v>816</v>
      </c>
      <c r="P239" s="35" t="s">
        <v>2711</v>
      </c>
    </row>
    <row r="240" spans="1:16" ht="409.6" customHeight="1" x14ac:dyDescent="0.25">
      <c r="A240" s="33"/>
      <c r="B240" s="34"/>
      <c r="C240" s="35"/>
      <c r="D240" s="34"/>
      <c r="E240" s="34"/>
      <c r="F240" s="34"/>
      <c r="G240" s="34"/>
      <c r="H240" s="34"/>
      <c r="I240" s="33"/>
      <c r="J240" s="34"/>
      <c r="K240" s="35"/>
      <c r="L240" s="34"/>
      <c r="M240" s="35"/>
      <c r="N240" s="34"/>
      <c r="O240" s="35" t="s">
        <v>816</v>
      </c>
      <c r="P240" s="35" t="s">
        <v>2711</v>
      </c>
    </row>
    <row r="241" spans="1:16" ht="409.6" customHeight="1" x14ac:dyDescent="0.25">
      <c r="A241" s="33"/>
      <c r="B241" s="34"/>
      <c r="C241" s="35"/>
      <c r="D241" s="34"/>
      <c r="E241" s="34"/>
      <c r="F241" s="34"/>
      <c r="G241" s="34"/>
      <c r="H241" s="34"/>
      <c r="I241" s="33"/>
      <c r="J241" s="34"/>
      <c r="K241" s="35"/>
      <c r="L241" s="34"/>
      <c r="M241" s="35"/>
      <c r="N241" s="34"/>
      <c r="O241" s="35" t="s">
        <v>816</v>
      </c>
      <c r="P241" s="35" t="s">
        <v>2711</v>
      </c>
    </row>
    <row r="242" spans="1:16" ht="409.6" customHeight="1" x14ac:dyDescent="0.25">
      <c r="A242" s="33"/>
      <c r="B242" s="34"/>
      <c r="C242" s="35"/>
      <c r="D242" s="34"/>
      <c r="E242" s="34"/>
      <c r="F242" s="34"/>
      <c r="G242" s="34"/>
      <c r="H242" s="34"/>
      <c r="I242" s="33"/>
      <c r="J242" s="34"/>
      <c r="K242" s="35"/>
      <c r="L242" s="34"/>
      <c r="M242" s="35"/>
      <c r="N242" s="34"/>
      <c r="O242" s="35" t="s">
        <v>816</v>
      </c>
      <c r="P242" s="35" t="s">
        <v>2711</v>
      </c>
    </row>
    <row r="243" spans="1:16" ht="409.6" customHeight="1" x14ac:dyDescent="0.25">
      <c r="A243" s="33"/>
      <c r="B243" s="34"/>
      <c r="C243" s="35"/>
      <c r="D243" s="34"/>
      <c r="E243" s="34"/>
      <c r="F243" s="34"/>
      <c r="G243" s="34"/>
      <c r="H243" s="34"/>
      <c r="I243" s="33"/>
      <c r="J243" s="34"/>
      <c r="K243" s="35"/>
      <c r="L243" s="34"/>
      <c r="M243" s="35"/>
      <c r="N243" s="34"/>
      <c r="O243" s="35" t="s">
        <v>816</v>
      </c>
      <c r="P243" s="35" t="s">
        <v>2711</v>
      </c>
    </row>
    <row r="244" spans="1:16" ht="409.6" customHeight="1" x14ac:dyDescent="0.25">
      <c r="A244" s="33"/>
      <c r="B244" s="34"/>
      <c r="C244" s="35"/>
      <c r="D244" s="34"/>
      <c r="E244" s="34"/>
      <c r="F244" s="34"/>
      <c r="G244" s="34"/>
      <c r="H244" s="34"/>
      <c r="I244" s="33"/>
      <c r="J244" s="34"/>
      <c r="K244" s="35"/>
      <c r="L244" s="34"/>
      <c r="M244" s="35"/>
      <c r="N244" s="34"/>
      <c r="O244" s="35" t="s">
        <v>816</v>
      </c>
      <c r="P244" s="35" t="s">
        <v>2711</v>
      </c>
    </row>
    <row r="245" spans="1:16" ht="409.6" customHeight="1" x14ac:dyDescent="0.25">
      <c r="A245" s="33"/>
      <c r="B245" s="34"/>
      <c r="C245" s="35"/>
      <c r="D245" s="34"/>
      <c r="E245" s="34"/>
      <c r="F245" s="34"/>
      <c r="G245" s="34"/>
      <c r="H245" s="34"/>
      <c r="I245" s="33"/>
      <c r="J245" s="34"/>
      <c r="K245" s="35"/>
      <c r="L245" s="34"/>
      <c r="M245" s="35"/>
      <c r="N245" s="34"/>
      <c r="O245" s="35" t="s">
        <v>816</v>
      </c>
      <c r="P245" s="35" t="s">
        <v>2711</v>
      </c>
    </row>
    <row r="246" spans="1:16" ht="409.6" customHeight="1" x14ac:dyDescent="0.25">
      <c r="A246" s="33"/>
      <c r="B246" s="34"/>
      <c r="C246" s="35"/>
      <c r="D246" s="34"/>
      <c r="E246" s="34"/>
      <c r="F246" s="34"/>
      <c r="G246" s="34"/>
      <c r="H246" s="34"/>
      <c r="I246" s="33"/>
      <c r="J246" s="34"/>
      <c r="K246" s="35"/>
      <c r="L246" s="34"/>
      <c r="M246" s="35"/>
      <c r="N246" s="34"/>
      <c r="O246" s="35" t="s">
        <v>816</v>
      </c>
      <c r="P246" s="35" t="s">
        <v>2711</v>
      </c>
    </row>
    <row r="247" spans="1:16" ht="409.6" customHeight="1" x14ac:dyDescent="0.25">
      <c r="A247" s="33"/>
      <c r="B247" s="34"/>
      <c r="C247" s="35"/>
      <c r="D247" s="34"/>
      <c r="E247" s="34"/>
      <c r="F247" s="34"/>
      <c r="G247" s="34"/>
      <c r="H247" s="34"/>
      <c r="I247" s="33"/>
      <c r="J247" s="34"/>
      <c r="K247" s="35"/>
      <c r="L247" s="34"/>
      <c r="M247" s="35"/>
      <c r="N247" s="34"/>
      <c r="O247" s="35" t="s">
        <v>816</v>
      </c>
      <c r="P247" s="35" t="s">
        <v>2711</v>
      </c>
    </row>
    <row r="248" spans="1:16" ht="409.6" customHeight="1" x14ac:dyDescent="0.25">
      <c r="A248" s="33"/>
      <c r="B248" s="34"/>
      <c r="C248" s="35"/>
      <c r="D248" s="34"/>
      <c r="E248" s="34"/>
      <c r="F248" s="34"/>
      <c r="G248" s="34"/>
      <c r="H248" s="34"/>
      <c r="I248" s="33"/>
      <c r="J248" s="34"/>
      <c r="K248" s="35"/>
      <c r="L248" s="34"/>
      <c r="M248" s="35"/>
      <c r="N248" s="34"/>
      <c r="O248" s="35" t="s">
        <v>164</v>
      </c>
      <c r="P248" s="35" t="s">
        <v>1865</v>
      </c>
    </row>
    <row r="249" spans="1:16" ht="409.6" customHeight="1" x14ac:dyDescent="0.25"/>
    <row r="250" spans="1:16" ht="409.6" customHeight="1" x14ac:dyDescent="0.25"/>
    <row r="251" spans="1:16" ht="409.6" customHeight="1" x14ac:dyDescent="0.25"/>
    <row r="252" spans="1:16" ht="409.6" customHeight="1" x14ac:dyDescent="0.25"/>
    <row r="253" spans="1:16" ht="409.6" customHeight="1" x14ac:dyDescent="0.25"/>
    <row r="254" spans="1:16" ht="409.6" customHeight="1" x14ac:dyDescent="0.25"/>
    <row r="255" spans="1:16" ht="409.6" customHeight="1" x14ac:dyDescent="0.25"/>
    <row r="256" spans="1:16" ht="409.6" customHeight="1" x14ac:dyDescent="0.25"/>
    <row r="257" ht="409.6" customHeight="1" x14ac:dyDescent="0.25"/>
    <row r="258" ht="409.6" customHeight="1" x14ac:dyDescent="0.25"/>
    <row r="259" ht="409.6" customHeight="1" x14ac:dyDescent="0.25"/>
    <row r="260" ht="409.6" customHeight="1" x14ac:dyDescent="0.25"/>
    <row r="261" ht="409.6" customHeight="1" x14ac:dyDescent="0.25"/>
    <row r="262" ht="409.6" customHeight="1" x14ac:dyDescent="0.25"/>
    <row r="263" ht="409.6" customHeight="1" x14ac:dyDescent="0.25"/>
    <row r="264" ht="409.6" customHeight="1" x14ac:dyDescent="0.25"/>
    <row r="265" ht="409.6" customHeight="1" x14ac:dyDescent="0.25"/>
    <row r="266" ht="409.6" customHeight="1" x14ac:dyDescent="0.25"/>
    <row r="267" ht="409.6" customHeight="1" x14ac:dyDescent="0.25"/>
    <row r="268" ht="409.6" customHeight="1" x14ac:dyDescent="0.25"/>
    <row r="269" ht="409.6" customHeight="1" x14ac:dyDescent="0.25"/>
    <row r="270" ht="409.6" customHeight="1" x14ac:dyDescent="0.25"/>
    <row r="271" ht="409.6" customHeight="1" x14ac:dyDescent="0.25"/>
    <row r="272" ht="409.6" customHeight="1" x14ac:dyDescent="0.25"/>
    <row r="273" ht="409.6" customHeight="1" x14ac:dyDescent="0.25"/>
    <row r="274" ht="409.6" customHeight="1" x14ac:dyDescent="0.25"/>
    <row r="275" ht="409.6" customHeight="1" x14ac:dyDescent="0.25"/>
    <row r="276" ht="409.6" customHeight="1" x14ac:dyDescent="0.25"/>
    <row r="277" ht="409.6" customHeight="1" x14ac:dyDescent="0.25"/>
    <row r="278" ht="409.6" customHeight="1" x14ac:dyDescent="0.25"/>
    <row r="279" ht="409.6" customHeight="1" x14ac:dyDescent="0.25"/>
    <row r="280" ht="409.6" customHeight="1" x14ac:dyDescent="0.25"/>
    <row r="281" ht="409.6" customHeight="1" x14ac:dyDescent="0.25"/>
    <row r="282" ht="409.6" customHeight="1" x14ac:dyDescent="0.25"/>
    <row r="283" ht="409.6" customHeight="1" x14ac:dyDescent="0.25"/>
    <row r="284" ht="409.6" customHeight="1" x14ac:dyDescent="0.25"/>
    <row r="285" ht="409.6" customHeight="1" x14ac:dyDescent="0.25"/>
    <row r="286" ht="409.6" customHeight="1" x14ac:dyDescent="0.25"/>
    <row r="287" ht="409.6" customHeight="1" x14ac:dyDescent="0.25"/>
    <row r="288" ht="409.6" customHeight="1" x14ac:dyDescent="0.25"/>
    <row r="289" ht="409.6" customHeight="1" x14ac:dyDescent="0.25"/>
    <row r="290" ht="409.6" customHeight="1" x14ac:dyDescent="0.25"/>
    <row r="291" ht="409.6" customHeight="1" x14ac:dyDescent="0.25"/>
    <row r="292" ht="409.6" customHeight="1" x14ac:dyDescent="0.25"/>
    <row r="293" ht="409.6" customHeight="1" x14ac:dyDescent="0.25"/>
    <row r="294" ht="409.6" customHeight="1" x14ac:dyDescent="0.25"/>
    <row r="295" ht="409.6" customHeight="1" x14ac:dyDescent="0.25"/>
    <row r="296" ht="409.6" customHeight="1" x14ac:dyDescent="0.25"/>
    <row r="297" ht="409.6" customHeight="1" x14ac:dyDescent="0.25"/>
    <row r="298" ht="409.6" customHeight="1" x14ac:dyDescent="0.25"/>
    <row r="299" ht="409.6" customHeight="1" x14ac:dyDescent="0.25"/>
    <row r="300" ht="409.6" customHeight="1" x14ac:dyDescent="0.25"/>
    <row r="301" ht="409.6" customHeight="1" x14ac:dyDescent="0.25"/>
    <row r="302" ht="409.6" customHeight="1" x14ac:dyDescent="0.25"/>
    <row r="303" ht="409.6" customHeight="1" x14ac:dyDescent="0.25"/>
    <row r="304" ht="409.6" customHeight="1" x14ac:dyDescent="0.25"/>
    <row r="305" ht="409.6" customHeight="1" x14ac:dyDescent="0.25"/>
    <row r="306" ht="409.6" customHeight="1" x14ac:dyDescent="0.25"/>
    <row r="307" ht="409.6" customHeight="1" x14ac:dyDescent="0.25"/>
    <row r="308" ht="409.6" customHeight="1" x14ac:dyDescent="0.25"/>
    <row r="309" ht="409.6" customHeight="1" x14ac:dyDescent="0.25"/>
    <row r="310" ht="409.6" customHeight="1" x14ac:dyDescent="0.25"/>
    <row r="311" ht="409.6" customHeight="1" x14ac:dyDescent="0.25"/>
    <row r="312" ht="409.6" customHeight="1" x14ac:dyDescent="0.25"/>
    <row r="313" ht="409.6" customHeight="1" x14ac:dyDescent="0.25"/>
    <row r="314" ht="409.6" customHeight="1" x14ac:dyDescent="0.25"/>
    <row r="315" ht="409.6" customHeight="1" x14ac:dyDescent="0.25"/>
    <row r="316" ht="409.6" customHeight="1" x14ac:dyDescent="0.25"/>
    <row r="317" ht="409.6" customHeight="1" x14ac:dyDescent="0.25"/>
    <row r="318" ht="409.6" customHeight="1" x14ac:dyDescent="0.25"/>
    <row r="319" ht="409.6" customHeight="1" x14ac:dyDescent="0.25"/>
    <row r="320" ht="409.6" customHeight="1" x14ac:dyDescent="0.25"/>
    <row r="321" ht="409.6" customHeight="1" x14ac:dyDescent="0.25"/>
    <row r="322" ht="409.6" customHeight="1" x14ac:dyDescent="0.25"/>
    <row r="323" ht="409.6" customHeight="1" x14ac:dyDescent="0.25"/>
    <row r="324" ht="409.6" customHeight="1" x14ac:dyDescent="0.25"/>
    <row r="325" ht="409.6" customHeight="1" x14ac:dyDescent="0.25"/>
    <row r="326" ht="409.6" customHeight="1" x14ac:dyDescent="0.25"/>
    <row r="327" ht="409.6" customHeight="1" x14ac:dyDescent="0.25"/>
    <row r="328" ht="409.6" customHeight="1" x14ac:dyDescent="0.25"/>
    <row r="329" ht="409.6" customHeight="1" x14ac:dyDescent="0.25"/>
    <row r="330" ht="409.6" customHeight="1" x14ac:dyDescent="0.25"/>
    <row r="331" ht="409.6" customHeight="1" x14ac:dyDescent="0.25"/>
    <row r="332" ht="409.6" customHeight="1" x14ac:dyDescent="0.25"/>
    <row r="333" ht="409.6" customHeight="1" x14ac:dyDescent="0.25"/>
    <row r="334" ht="409.6" customHeight="1" x14ac:dyDescent="0.25"/>
    <row r="335" ht="409.6" customHeight="1" x14ac:dyDescent="0.25"/>
    <row r="336" ht="409.6" customHeight="1" x14ac:dyDescent="0.25"/>
    <row r="337" ht="409.6" customHeight="1" x14ac:dyDescent="0.25"/>
    <row r="338" ht="409.6" customHeight="1" x14ac:dyDescent="0.25"/>
    <row r="339" ht="409.6" customHeight="1" x14ac:dyDescent="0.25"/>
    <row r="340" ht="409.6" customHeight="1" x14ac:dyDescent="0.25"/>
    <row r="341" ht="409.6" customHeight="1" x14ac:dyDescent="0.25"/>
    <row r="342" ht="409.6" customHeight="1" x14ac:dyDescent="0.25"/>
    <row r="343" ht="409.6" customHeight="1" x14ac:dyDescent="0.25"/>
    <row r="344" ht="409.6" customHeight="1" x14ac:dyDescent="0.25"/>
    <row r="345" ht="409.6" customHeight="1" x14ac:dyDescent="0.25"/>
    <row r="346" ht="409.6" customHeight="1" x14ac:dyDescent="0.25"/>
    <row r="347" ht="409.6" customHeight="1" x14ac:dyDescent="0.25"/>
    <row r="348" ht="409.6" customHeight="1" x14ac:dyDescent="0.25"/>
    <row r="349" ht="409.6" customHeight="1" x14ac:dyDescent="0.25"/>
    <row r="350" ht="409.6" customHeight="1" x14ac:dyDescent="0.25"/>
    <row r="351" ht="409.6" customHeight="1" x14ac:dyDescent="0.25"/>
    <row r="352" ht="409.6" customHeight="1" x14ac:dyDescent="0.25"/>
    <row r="353" ht="409.6" customHeight="1" x14ac:dyDescent="0.25"/>
    <row r="354" ht="409.6" customHeight="1" x14ac:dyDescent="0.25"/>
    <row r="355" ht="409.6" customHeight="1" x14ac:dyDescent="0.25"/>
    <row r="356" ht="409.6" customHeight="1" x14ac:dyDescent="0.25"/>
    <row r="357" ht="409.6" customHeight="1" x14ac:dyDescent="0.25"/>
    <row r="358" ht="409.6" customHeight="1" x14ac:dyDescent="0.25"/>
    <row r="359" ht="409.6" customHeight="1" x14ac:dyDescent="0.25"/>
    <row r="360" ht="409.6" customHeight="1" x14ac:dyDescent="0.25"/>
    <row r="361" ht="409.6" customHeight="1" x14ac:dyDescent="0.25"/>
    <row r="362" ht="409.6" customHeight="1" x14ac:dyDescent="0.25"/>
    <row r="363" ht="409.6" customHeight="1" x14ac:dyDescent="0.25"/>
    <row r="364" ht="409.6" customHeight="1" x14ac:dyDescent="0.25"/>
    <row r="365" ht="409.6" customHeight="1" x14ac:dyDescent="0.25"/>
    <row r="366" ht="409.6" customHeight="1" x14ac:dyDescent="0.25"/>
    <row r="367" ht="409.6" customHeight="1" x14ac:dyDescent="0.25"/>
    <row r="368" ht="409.6" customHeight="1" x14ac:dyDescent="0.25"/>
    <row r="369" ht="409.6" customHeight="1" x14ac:dyDescent="0.25"/>
    <row r="370" ht="409.6" customHeight="1" x14ac:dyDescent="0.25"/>
    <row r="371" ht="409.6" customHeight="1" x14ac:dyDescent="0.25"/>
    <row r="372" ht="409.6" customHeight="1" x14ac:dyDescent="0.25"/>
    <row r="373" ht="409.6" customHeight="1" x14ac:dyDescent="0.25"/>
    <row r="374" ht="409.6" customHeight="1" x14ac:dyDescent="0.25"/>
    <row r="375" ht="409.6" customHeight="1" x14ac:dyDescent="0.25"/>
    <row r="376" ht="409.6" customHeight="1" x14ac:dyDescent="0.25"/>
    <row r="377" ht="409.6" customHeight="1" x14ac:dyDescent="0.25"/>
    <row r="378" ht="409.6" customHeight="1" x14ac:dyDescent="0.25"/>
    <row r="379" ht="409.6" customHeight="1" x14ac:dyDescent="0.25"/>
    <row r="380" ht="409.6" customHeight="1" x14ac:dyDescent="0.25"/>
    <row r="381" ht="409.6" customHeight="1" x14ac:dyDescent="0.25"/>
    <row r="382" ht="409.6" customHeight="1" x14ac:dyDescent="0.25"/>
    <row r="383" ht="409.6" customHeight="1" x14ac:dyDescent="0.25"/>
    <row r="384" ht="409.6" customHeight="1" x14ac:dyDescent="0.25"/>
    <row r="385" ht="409.6" customHeight="1" x14ac:dyDescent="0.25"/>
    <row r="386" ht="409.6" customHeight="1" x14ac:dyDescent="0.25"/>
    <row r="387" ht="409.6" customHeight="1" x14ac:dyDescent="0.25"/>
    <row r="388" ht="409.6" customHeight="1" x14ac:dyDescent="0.25"/>
    <row r="389" ht="409.6" customHeight="1" x14ac:dyDescent="0.25"/>
    <row r="390" ht="409.6" customHeight="1" x14ac:dyDescent="0.25"/>
    <row r="391" ht="409.6" customHeight="1" x14ac:dyDescent="0.25"/>
    <row r="392" ht="409.6" customHeight="1" x14ac:dyDescent="0.25"/>
    <row r="393" ht="409.6" customHeight="1" x14ac:dyDescent="0.25"/>
    <row r="394" ht="409.6" customHeight="1" x14ac:dyDescent="0.25"/>
    <row r="395" ht="409.6" customHeight="1" x14ac:dyDescent="0.25"/>
    <row r="396" ht="409.6" customHeight="1" x14ac:dyDescent="0.25"/>
    <row r="397" ht="409.6" customHeight="1" x14ac:dyDescent="0.25"/>
    <row r="398" ht="409.6" customHeight="1" x14ac:dyDescent="0.25"/>
    <row r="399" ht="409.6" customHeight="1" x14ac:dyDescent="0.25"/>
    <row r="400" ht="409.6" customHeight="1" x14ac:dyDescent="0.25"/>
    <row r="401" ht="409.6" customHeight="1" x14ac:dyDescent="0.25"/>
    <row r="402" ht="409.6" customHeight="1" x14ac:dyDescent="0.25"/>
    <row r="403" ht="409.6" customHeight="1" x14ac:dyDescent="0.25"/>
    <row r="404" ht="409.6" customHeight="1" x14ac:dyDescent="0.25"/>
    <row r="405" ht="409.6" customHeight="1" x14ac:dyDescent="0.25"/>
    <row r="406" ht="409.6" customHeight="1" x14ac:dyDescent="0.25"/>
    <row r="407" ht="409.6" customHeight="1" x14ac:dyDescent="0.25"/>
    <row r="408" ht="409.6" customHeight="1" x14ac:dyDescent="0.25"/>
    <row r="409" ht="409.6" customHeight="1" x14ac:dyDescent="0.25"/>
    <row r="410" ht="409.6" customHeight="1" x14ac:dyDescent="0.25"/>
    <row r="411" ht="409.6" customHeight="1" x14ac:dyDescent="0.25"/>
    <row r="412" ht="409.6" customHeight="1" x14ac:dyDescent="0.25"/>
    <row r="413" ht="409.6" customHeight="1" x14ac:dyDescent="0.25"/>
    <row r="414" ht="409.6" customHeight="1" x14ac:dyDescent="0.25"/>
    <row r="415" ht="409.6" customHeight="1" x14ac:dyDescent="0.25"/>
    <row r="416" ht="409.6" customHeight="1" x14ac:dyDescent="0.25"/>
    <row r="417" ht="409.6" customHeight="1" x14ac:dyDescent="0.25"/>
    <row r="418" ht="409.6" customHeight="1" x14ac:dyDescent="0.25"/>
    <row r="419" ht="409.6" customHeight="1" x14ac:dyDescent="0.25"/>
    <row r="420" ht="409.6" customHeight="1" x14ac:dyDescent="0.25"/>
    <row r="421" ht="409.6" customHeight="1" x14ac:dyDescent="0.25"/>
    <row r="422" ht="409.6" customHeight="1" x14ac:dyDescent="0.25"/>
    <row r="423" ht="409.6" customHeight="1" x14ac:dyDescent="0.25"/>
    <row r="424" ht="409.6" customHeight="1" x14ac:dyDescent="0.25"/>
    <row r="425" ht="409.6" customHeight="1" x14ac:dyDescent="0.25"/>
    <row r="426" ht="409.6" customHeight="1" x14ac:dyDescent="0.25"/>
    <row r="427" ht="409.6" customHeight="1" x14ac:dyDescent="0.25"/>
    <row r="428" ht="409.6" customHeight="1" x14ac:dyDescent="0.25"/>
    <row r="429" ht="409.6" customHeight="1" x14ac:dyDescent="0.25"/>
    <row r="430" ht="409.6" customHeight="1" x14ac:dyDescent="0.25"/>
    <row r="431" ht="409.6" customHeight="1" x14ac:dyDescent="0.25"/>
    <row r="432" ht="409.6" customHeight="1" x14ac:dyDescent="0.25"/>
    <row r="433" ht="409.6" customHeight="1" x14ac:dyDescent="0.25"/>
    <row r="434" ht="409.6" customHeight="1" x14ac:dyDescent="0.25"/>
    <row r="435" ht="409.6" customHeight="1" x14ac:dyDescent="0.25"/>
    <row r="436" ht="409.6" customHeight="1" x14ac:dyDescent="0.25"/>
    <row r="437" ht="409.6" customHeight="1" x14ac:dyDescent="0.25"/>
    <row r="438" ht="409.6" customHeight="1" x14ac:dyDescent="0.25"/>
    <row r="439" ht="409.6" customHeight="1" x14ac:dyDescent="0.25"/>
    <row r="440" ht="409.6" customHeight="1" x14ac:dyDescent="0.25"/>
    <row r="441" ht="409.6" customHeight="1" x14ac:dyDescent="0.25"/>
    <row r="442" ht="409.6" customHeight="1" x14ac:dyDescent="0.25"/>
    <row r="443" ht="409.6" customHeight="1" x14ac:dyDescent="0.25"/>
    <row r="444" ht="409.6" customHeight="1" x14ac:dyDescent="0.25"/>
    <row r="445" ht="409.6" customHeight="1" x14ac:dyDescent="0.25"/>
    <row r="446" ht="409.6" customHeight="1" x14ac:dyDescent="0.25"/>
    <row r="447" ht="409.6" customHeight="1" x14ac:dyDescent="0.25"/>
    <row r="448" ht="409.6" customHeight="1" x14ac:dyDescent="0.25"/>
    <row r="449" ht="409.6" customHeight="1" x14ac:dyDescent="0.25"/>
    <row r="450" ht="409.6" customHeight="1" x14ac:dyDescent="0.25"/>
    <row r="451" ht="409.6" customHeight="1" x14ac:dyDescent="0.25"/>
    <row r="452" ht="409.6" customHeight="1" x14ac:dyDescent="0.25"/>
    <row r="453" ht="409.6" customHeight="1" x14ac:dyDescent="0.25"/>
    <row r="454" ht="409.6" customHeight="1" x14ac:dyDescent="0.25"/>
    <row r="455" ht="409.6" customHeight="1" x14ac:dyDescent="0.25"/>
    <row r="456" ht="409.6" customHeight="1" x14ac:dyDescent="0.25"/>
    <row r="457" ht="409.6" customHeight="1" x14ac:dyDescent="0.25"/>
    <row r="458" ht="409.6" customHeight="1" x14ac:dyDescent="0.25"/>
    <row r="459" ht="409.6" customHeight="1" x14ac:dyDescent="0.25"/>
    <row r="460" ht="409.6" customHeight="1" x14ac:dyDescent="0.25"/>
    <row r="461" ht="409.6" customHeight="1" x14ac:dyDescent="0.25"/>
    <row r="462" ht="409.6" customHeight="1" x14ac:dyDescent="0.25"/>
    <row r="463" ht="409.6" customHeight="1" x14ac:dyDescent="0.25"/>
    <row r="464" ht="409.6" customHeight="1" x14ac:dyDescent="0.25"/>
    <row r="465" ht="409.6" customHeight="1" x14ac:dyDescent="0.25"/>
    <row r="466" ht="409.6" customHeight="1" x14ac:dyDescent="0.25"/>
    <row r="467" ht="409.6" customHeight="1" x14ac:dyDescent="0.25"/>
    <row r="468" ht="409.6" customHeight="1" x14ac:dyDescent="0.25"/>
    <row r="469" ht="409.6" customHeight="1" x14ac:dyDescent="0.25"/>
    <row r="470" ht="409.6" customHeight="1" x14ac:dyDescent="0.25"/>
    <row r="471" ht="409.6" customHeight="1" x14ac:dyDescent="0.25"/>
    <row r="472" ht="409.6" customHeight="1" x14ac:dyDescent="0.25"/>
    <row r="473" ht="409.6" customHeight="1" x14ac:dyDescent="0.25"/>
    <row r="474" ht="409.6" customHeight="1" x14ac:dyDescent="0.25"/>
    <row r="475" ht="409.6" customHeight="1" x14ac:dyDescent="0.25"/>
    <row r="476" ht="409.6" customHeight="1" x14ac:dyDescent="0.25"/>
    <row r="477" ht="409.6" customHeight="1" x14ac:dyDescent="0.25"/>
    <row r="478" ht="409.6" customHeight="1" x14ac:dyDescent="0.25"/>
    <row r="479" ht="409.6" customHeight="1" x14ac:dyDescent="0.25"/>
    <row r="480" ht="409.6" customHeight="1" x14ac:dyDescent="0.25"/>
    <row r="481" ht="409.6" customHeight="1" x14ac:dyDescent="0.25"/>
    <row r="482" ht="409.6" customHeight="1" x14ac:dyDescent="0.25"/>
    <row r="483" ht="409.6" customHeight="1" x14ac:dyDescent="0.25"/>
    <row r="484" ht="409.6" customHeight="1" x14ac:dyDescent="0.25"/>
    <row r="485" ht="409.6" customHeight="1" x14ac:dyDescent="0.25"/>
    <row r="486" ht="409.6" customHeight="1" x14ac:dyDescent="0.25"/>
    <row r="487" ht="409.6" customHeight="1" x14ac:dyDescent="0.25"/>
    <row r="488" ht="409.6" customHeight="1" x14ac:dyDescent="0.25"/>
    <row r="489" ht="409.6" customHeight="1" x14ac:dyDescent="0.25"/>
    <row r="490" ht="409.6" customHeight="1" x14ac:dyDescent="0.25"/>
    <row r="491" ht="409.6" customHeight="1" x14ac:dyDescent="0.25"/>
    <row r="492" ht="409.6" customHeight="1" x14ac:dyDescent="0.25"/>
    <row r="493" ht="409.6" customHeight="1" x14ac:dyDescent="0.25"/>
    <row r="494" ht="409.6" customHeight="1" x14ac:dyDescent="0.25"/>
    <row r="495" ht="409.6" customHeight="1" x14ac:dyDescent="0.25"/>
    <row r="496" ht="409.6" customHeight="1" x14ac:dyDescent="0.25"/>
    <row r="497" ht="409.6" customHeight="1" x14ac:dyDescent="0.25"/>
    <row r="498" ht="409.6" customHeight="1" x14ac:dyDescent="0.25"/>
    <row r="499" ht="409.6" customHeight="1" x14ac:dyDescent="0.25"/>
    <row r="500" ht="409.6" customHeight="1" x14ac:dyDescent="0.25"/>
    <row r="501" ht="409.6" customHeight="1" x14ac:dyDescent="0.25"/>
    <row r="502" ht="409.6" customHeight="1" x14ac:dyDescent="0.25"/>
    <row r="503" ht="409.6" customHeight="1" x14ac:dyDescent="0.25"/>
    <row r="504" ht="409.6" customHeight="1" x14ac:dyDescent="0.25"/>
    <row r="505" ht="409.6" customHeight="1" x14ac:dyDescent="0.25"/>
    <row r="506" ht="409.6" customHeight="1" x14ac:dyDescent="0.25"/>
    <row r="507" ht="409.6" customHeight="1" x14ac:dyDescent="0.25"/>
    <row r="508" ht="409.6" customHeight="1" x14ac:dyDescent="0.25"/>
    <row r="509" ht="409.6" customHeight="1" x14ac:dyDescent="0.25"/>
    <row r="510" ht="409.6" customHeight="1" x14ac:dyDescent="0.25"/>
    <row r="511" ht="409.6" customHeight="1" x14ac:dyDescent="0.25"/>
    <row r="512" ht="409.6" customHeight="1" x14ac:dyDescent="0.25"/>
    <row r="513" ht="409.6" customHeight="1" x14ac:dyDescent="0.25"/>
    <row r="514" ht="409.6" customHeight="1" x14ac:dyDescent="0.25"/>
    <row r="515" ht="409.6" customHeight="1" x14ac:dyDescent="0.25"/>
    <row r="516" ht="409.6" customHeight="1" x14ac:dyDescent="0.25"/>
    <row r="517" ht="409.6" customHeight="1" x14ac:dyDescent="0.25"/>
    <row r="518" ht="409.6" customHeight="1" x14ac:dyDescent="0.25"/>
    <row r="519" ht="409.6" customHeight="1" x14ac:dyDescent="0.25"/>
    <row r="520" ht="409.6" customHeight="1" x14ac:dyDescent="0.25"/>
    <row r="521" ht="409.6" customHeight="1" x14ac:dyDescent="0.25"/>
    <row r="522" ht="409.6" customHeight="1" x14ac:dyDescent="0.25"/>
    <row r="523" ht="409.6" customHeight="1" x14ac:dyDescent="0.25"/>
    <row r="524" ht="409.6" customHeight="1" x14ac:dyDescent="0.25"/>
    <row r="525" ht="409.6" customHeight="1" x14ac:dyDescent="0.25"/>
    <row r="526" ht="409.6" customHeight="1" x14ac:dyDescent="0.25"/>
    <row r="527" ht="409.6" customHeight="1" x14ac:dyDescent="0.25"/>
    <row r="528" ht="409.6" customHeight="1" x14ac:dyDescent="0.25"/>
    <row r="529" ht="409.6" customHeight="1" x14ac:dyDescent="0.25"/>
    <row r="530" ht="409.6" customHeight="1" x14ac:dyDescent="0.25"/>
    <row r="531" ht="409.6" customHeight="1" x14ac:dyDescent="0.25"/>
    <row r="532" ht="409.6" customHeight="1" x14ac:dyDescent="0.25"/>
    <row r="533" ht="409.6" customHeight="1" x14ac:dyDescent="0.25"/>
    <row r="534" ht="409.6" customHeight="1" x14ac:dyDescent="0.25"/>
    <row r="535" ht="409.6" customHeight="1" x14ac:dyDescent="0.25"/>
    <row r="536" ht="409.6" customHeight="1" x14ac:dyDescent="0.25"/>
    <row r="537" ht="409.6" customHeight="1" x14ac:dyDescent="0.25"/>
    <row r="538" ht="409.6" customHeight="1" x14ac:dyDescent="0.25"/>
    <row r="539" ht="409.6" customHeight="1" x14ac:dyDescent="0.25"/>
    <row r="540" ht="409.6" customHeight="1" x14ac:dyDescent="0.25"/>
    <row r="541" ht="409.6" customHeight="1" x14ac:dyDescent="0.25"/>
    <row r="542" ht="409.6" customHeight="1" x14ac:dyDescent="0.25"/>
    <row r="543" ht="409.6" customHeight="1" x14ac:dyDescent="0.25"/>
    <row r="544" ht="409.6" customHeight="1" x14ac:dyDescent="0.25"/>
    <row r="545" ht="409.6" customHeight="1" x14ac:dyDescent="0.25"/>
    <row r="546" ht="409.6" customHeight="1" x14ac:dyDescent="0.25"/>
    <row r="547" ht="409.6" customHeight="1" x14ac:dyDescent="0.25"/>
    <row r="548" ht="409.6" customHeight="1" x14ac:dyDescent="0.25"/>
    <row r="549" ht="409.6" customHeight="1" x14ac:dyDescent="0.25"/>
    <row r="550" ht="409.6" customHeight="1" x14ac:dyDescent="0.25"/>
    <row r="551" ht="409.6" customHeight="1" x14ac:dyDescent="0.25"/>
    <row r="552" ht="409.6" customHeight="1" x14ac:dyDescent="0.25"/>
    <row r="553" ht="409.6" customHeight="1" x14ac:dyDescent="0.25"/>
    <row r="554" ht="409.6" customHeight="1" x14ac:dyDescent="0.25"/>
    <row r="555" ht="409.6" customHeight="1" x14ac:dyDescent="0.25"/>
    <row r="556" ht="409.6" customHeight="1" x14ac:dyDescent="0.25"/>
    <row r="557" ht="409.6" customHeight="1" x14ac:dyDescent="0.25"/>
    <row r="558" ht="409.6" customHeight="1" x14ac:dyDescent="0.25"/>
    <row r="559" ht="13.2" customHeight="1" x14ac:dyDescent="0.25"/>
    <row r="560" ht="13.2" customHeight="1" x14ac:dyDescent="0.25"/>
    <row r="561" ht="13.2" customHeight="1" x14ac:dyDescent="0.25"/>
    <row r="562" ht="13.2" customHeight="1" x14ac:dyDescent="0.25"/>
    <row r="563" ht="13.2" customHeight="1" x14ac:dyDescent="0.25"/>
    <row r="564" ht="13.2" customHeight="1" x14ac:dyDescent="0.25"/>
    <row r="565" ht="13.2" customHeight="1" x14ac:dyDescent="0.25"/>
    <row r="566" ht="13.2" customHeight="1" x14ac:dyDescent="0.25"/>
    <row r="567" ht="13.2" customHeight="1" x14ac:dyDescent="0.25"/>
    <row r="568" ht="13.2" customHeight="1" x14ac:dyDescent="0.25"/>
    <row r="569" ht="13.2" customHeight="1" x14ac:dyDescent="0.25"/>
    <row r="570" ht="13.2" customHeight="1" x14ac:dyDescent="0.25"/>
    <row r="571" ht="13.2" customHeight="1" x14ac:dyDescent="0.25"/>
    <row r="572" ht="13.2" customHeight="1" x14ac:dyDescent="0.25"/>
    <row r="573" ht="13.2" customHeight="1" x14ac:dyDescent="0.25"/>
    <row r="574" ht="13.2" customHeight="1" x14ac:dyDescent="0.25"/>
    <row r="575" ht="13.2" customHeight="1" x14ac:dyDescent="0.25"/>
    <row r="576" ht="13.2" customHeight="1" x14ac:dyDescent="0.25"/>
    <row r="577" ht="13.2" customHeight="1" x14ac:dyDescent="0.25"/>
    <row r="578" ht="13.2" customHeight="1" x14ac:dyDescent="0.25"/>
    <row r="579" ht="13.2" customHeight="1" x14ac:dyDescent="0.25"/>
    <row r="580" ht="13.2" customHeight="1" x14ac:dyDescent="0.25"/>
    <row r="581" ht="13.2" customHeight="1" x14ac:dyDescent="0.25"/>
    <row r="582" ht="13.2" customHeight="1" x14ac:dyDescent="0.25"/>
    <row r="583" ht="13.2" customHeight="1" x14ac:dyDescent="0.25"/>
    <row r="584" ht="13.2" customHeight="1" x14ac:dyDescent="0.25"/>
    <row r="585" ht="13.2" customHeight="1" x14ac:dyDescent="0.25"/>
    <row r="586" ht="13.2" customHeight="1" x14ac:dyDescent="0.25"/>
    <row r="587" ht="13.2" customHeight="1" x14ac:dyDescent="0.25"/>
    <row r="588" ht="13.2" customHeight="1" x14ac:dyDescent="0.25"/>
    <row r="589" ht="13.2" customHeight="1" x14ac:dyDescent="0.25"/>
    <row r="590" ht="13.2" customHeight="1" x14ac:dyDescent="0.25"/>
    <row r="591" ht="13.2" customHeight="1" x14ac:dyDescent="0.25"/>
    <row r="592" ht="13.2" customHeight="1" x14ac:dyDescent="0.25"/>
    <row r="593" ht="13.2" customHeight="1" x14ac:dyDescent="0.25"/>
    <row r="594" ht="13.2" customHeight="1" x14ac:dyDescent="0.25"/>
    <row r="595" ht="13.2" customHeight="1" x14ac:dyDescent="0.25"/>
    <row r="596" ht="13.2" customHeight="1" x14ac:dyDescent="0.25"/>
    <row r="597" ht="13.2" customHeight="1" x14ac:dyDescent="0.25"/>
    <row r="598" ht="13.2" customHeight="1" x14ac:dyDescent="0.25"/>
    <row r="599" ht="13.2" customHeight="1" x14ac:dyDescent="0.25"/>
    <row r="600" ht="13.2" customHeight="1" x14ac:dyDescent="0.25"/>
    <row r="601" ht="13.2" customHeight="1" x14ac:dyDescent="0.25"/>
    <row r="602" ht="13.2" customHeight="1" x14ac:dyDescent="0.25"/>
    <row r="603" ht="13.2" customHeight="1" x14ac:dyDescent="0.25"/>
    <row r="604" ht="13.2" customHeight="1" x14ac:dyDescent="0.25"/>
    <row r="605" ht="13.2" customHeight="1" x14ac:dyDescent="0.25"/>
    <row r="606" ht="13.2" customHeight="1" x14ac:dyDescent="0.25"/>
    <row r="607" ht="13.2" customHeight="1" x14ac:dyDescent="0.25"/>
    <row r="608" ht="13.2" customHeight="1" x14ac:dyDescent="0.25"/>
    <row r="609" ht="13.2" customHeight="1" x14ac:dyDescent="0.25"/>
    <row r="610" ht="13.2" customHeight="1" x14ac:dyDescent="0.25"/>
    <row r="611" ht="13.2" customHeight="1" x14ac:dyDescent="0.25"/>
    <row r="612" ht="13.2" customHeight="1" x14ac:dyDescent="0.25"/>
    <row r="613" ht="13.2" customHeight="1" x14ac:dyDescent="0.25"/>
    <row r="614" ht="13.2" customHeight="1" x14ac:dyDescent="0.25"/>
    <row r="615" ht="13.2" customHeight="1" x14ac:dyDescent="0.25"/>
    <row r="616" ht="13.2" customHeight="1" x14ac:dyDescent="0.25"/>
    <row r="617" ht="13.2" customHeight="1" x14ac:dyDescent="0.25"/>
    <row r="618" ht="13.2" customHeight="1" x14ac:dyDescent="0.25"/>
    <row r="619" ht="13.2" customHeight="1" x14ac:dyDescent="0.25"/>
    <row r="620" ht="13.2" customHeight="1" x14ac:dyDescent="0.25"/>
    <row r="621" ht="13.2" customHeight="1" x14ac:dyDescent="0.25"/>
    <row r="622" ht="13.2" customHeight="1" x14ac:dyDescent="0.25"/>
    <row r="623" ht="13.2" customHeight="1" x14ac:dyDescent="0.25"/>
    <row r="624" ht="13.2" customHeight="1" x14ac:dyDescent="0.25"/>
    <row r="625" ht="13.2" customHeight="1" x14ac:dyDescent="0.25"/>
    <row r="626" ht="13.2" customHeight="1" x14ac:dyDescent="0.25"/>
    <row r="627" ht="13.2" customHeight="1" x14ac:dyDescent="0.25"/>
    <row r="628" ht="13.2" customHeight="1" x14ac:dyDescent="0.25"/>
    <row r="629" ht="13.2" customHeight="1" x14ac:dyDescent="0.25"/>
    <row r="630" ht="13.2" customHeight="1" x14ac:dyDescent="0.25"/>
    <row r="631" ht="13.2" customHeight="1" x14ac:dyDescent="0.25"/>
    <row r="632" ht="13.2" customHeight="1" x14ac:dyDescent="0.25"/>
    <row r="633" ht="13.2" customHeight="1" x14ac:dyDescent="0.25"/>
    <row r="634" ht="13.2" customHeight="1" x14ac:dyDescent="0.25"/>
    <row r="635" ht="13.2" customHeight="1" x14ac:dyDescent="0.25"/>
    <row r="636" ht="13.2" customHeight="1" x14ac:dyDescent="0.25"/>
    <row r="637" ht="13.2" customHeight="1" x14ac:dyDescent="0.25"/>
    <row r="638" ht="13.2" customHeight="1" x14ac:dyDescent="0.25"/>
    <row r="639" ht="13.2" customHeight="1" x14ac:dyDescent="0.25"/>
    <row r="640" ht="13.2" customHeight="1" x14ac:dyDescent="0.25"/>
    <row r="641" ht="13.2" customHeight="1" x14ac:dyDescent="0.25"/>
    <row r="642" ht="13.2" customHeight="1" x14ac:dyDescent="0.25"/>
    <row r="643" ht="13.2" customHeight="1" x14ac:dyDescent="0.25"/>
    <row r="644" ht="13.2" customHeight="1" x14ac:dyDescent="0.25"/>
    <row r="645" ht="13.2" customHeight="1" x14ac:dyDescent="0.25"/>
    <row r="646" ht="13.2" customHeight="1" x14ac:dyDescent="0.25"/>
    <row r="647" ht="13.2" customHeight="1" x14ac:dyDescent="0.25"/>
    <row r="648" ht="13.2" customHeight="1" x14ac:dyDescent="0.25"/>
    <row r="649" ht="13.2" customHeight="1" x14ac:dyDescent="0.25"/>
    <row r="650" ht="13.2" customHeight="1" x14ac:dyDescent="0.25"/>
    <row r="651" ht="13.2" customHeight="1" x14ac:dyDescent="0.25"/>
    <row r="652" ht="13.2" customHeight="1" x14ac:dyDescent="0.25"/>
    <row r="653" ht="13.2" customHeight="1" x14ac:dyDescent="0.25"/>
    <row r="654" ht="13.2" customHeight="1" x14ac:dyDescent="0.25"/>
    <row r="655" ht="13.2" customHeight="1" x14ac:dyDescent="0.25"/>
    <row r="656" ht="13.2" customHeight="1" x14ac:dyDescent="0.25"/>
    <row r="657" ht="13.2" customHeight="1" x14ac:dyDescent="0.25"/>
    <row r="658" ht="13.2" customHeight="1" x14ac:dyDescent="0.25"/>
    <row r="659" ht="13.2" customHeight="1" x14ac:dyDescent="0.25"/>
    <row r="660" ht="13.2" customHeight="1" x14ac:dyDescent="0.25"/>
    <row r="661" ht="13.2" customHeight="1" x14ac:dyDescent="0.25"/>
    <row r="662" ht="13.2" customHeight="1" x14ac:dyDescent="0.25"/>
    <row r="663" ht="13.2" customHeight="1" x14ac:dyDescent="0.25"/>
    <row r="664" ht="13.2" customHeight="1" x14ac:dyDescent="0.25"/>
    <row r="665" ht="13.2" customHeight="1" x14ac:dyDescent="0.25"/>
    <row r="666" ht="13.2" customHeight="1" x14ac:dyDescent="0.25"/>
    <row r="667" ht="13.2" customHeight="1" x14ac:dyDescent="0.25"/>
    <row r="668" ht="13.2" customHeight="1" x14ac:dyDescent="0.25"/>
    <row r="669" ht="13.2" customHeight="1" x14ac:dyDescent="0.25"/>
    <row r="670" ht="13.2" customHeight="1" x14ac:dyDescent="0.25"/>
    <row r="671" ht="13.2" customHeight="1" x14ac:dyDescent="0.25"/>
    <row r="672" ht="13.2" customHeight="1" x14ac:dyDescent="0.25"/>
    <row r="673" ht="13.2" customHeight="1" x14ac:dyDescent="0.25"/>
    <row r="674" ht="13.2" customHeight="1" x14ac:dyDescent="0.25"/>
    <row r="675" ht="13.2" customHeight="1" x14ac:dyDescent="0.25"/>
    <row r="676" ht="13.2" customHeight="1" x14ac:dyDescent="0.25"/>
    <row r="677" ht="13.2" customHeight="1" x14ac:dyDescent="0.25"/>
    <row r="678" ht="13.2" customHeight="1" x14ac:dyDescent="0.25"/>
    <row r="679" ht="13.2" customHeight="1" x14ac:dyDescent="0.25"/>
    <row r="680" ht="13.2" customHeight="1" x14ac:dyDescent="0.25"/>
    <row r="681" ht="13.2" customHeight="1" x14ac:dyDescent="0.25"/>
    <row r="682" ht="13.2" customHeight="1" x14ac:dyDescent="0.25"/>
    <row r="683" ht="13.2" customHeight="1" x14ac:dyDescent="0.25"/>
    <row r="684" ht="13.2" customHeight="1" x14ac:dyDescent="0.25"/>
    <row r="685" ht="13.2" customHeight="1" x14ac:dyDescent="0.25"/>
    <row r="686" ht="13.2" customHeight="1" x14ac:dyDescent="0.25"/>
    <row r="687" ht="13.2" customHeight="1" x14ac:dyDescent="0.25"/>
    <row r="688" ht="13.2" customHeight="1" x14ac:dyDescent="0.25"/>
    <row r="689" ht="13.2" customHeight="1" x14ac:dyDescent="0.25"/>
    <row r="690" ht="13.2" customHeight="1" x14ac:dyDescent="0.25"/>
    <row r="691" ht="13.2" customHeight="1" x14ac:dyDescent="0.25"/>
    <row r="692" ht="13.2" customHeight="1" x14ac:dyDescent="0.25"/>
    <row r="693" ht="13.2" customHeight="1" x14ac:dyDescent="0.25"/>
    <row r="694" ht="13.2" customHeight="1" x14ac:dyDescent="0.25"/>
    <row r="695" ht="13.2" customHeight="1" x14ac:dyDescent="0.25"/>
    <row r="696" ht="13.2" customHeight="1" x14ac:dyDescent="0.25"/>
    <row r="697" ht="13.2" customHeight="1" x14ac:dyDescent="0.25"/>
    <row r="698" ht="13.2" customHeight="1" x14ac:dyDescent="0.25"/>
    <row r="699" ht="13.2" customHeight="1" x14ac:dyDescent="0.25"/>
    <row r="700" ht="13.2" customHeight="1" x14ac:dyDescent="0.25"/>
    <row r="701" ht="13.2" customHeight="1" x14ac:dyDescent="0.25"/>
    <row r="702" ht="13.2" customHeight="1" x14ac:dyDescent="0.25"/>
    <row r="703" ht="13.2" customHeight="1" x14ac:dyDescent="0.25"/>
    <row r="704" ht="13.2" customHeight="1" x14ac:dyDescent="0.25"/>
    <row r="705" ht="13.2" customHeight="1" x14ac:dyDescent="0.25"/>
    <row r="706" ht="13.2" customHeight="1" x14ac:dyDescent="0.25"/>
    <row r="707" ht="13.2" customHeight="1" x14ac:dyDescent="0.25"/>
    <row r="708" ht="13.2" customHeight="1" x14ac:dyDescent="0.25"/>
    <row r="709" ht="13.2" customHeight="1" x14ac:dyDescent="0.25"/>
    <row r="710" ht="13.2" customHeight="1" x14ac:dyDescent="0.25"/>
    <row r="711" ht="13.2" customHeight="1" x14ac:dyDescent="0.25"/>
    <row r="712" ht="13.2" customHeight="1" x14ac:dyDescent="0.25"/>
    <row r="713" ht="13.2" customHeight="1" x14ac:dyDescent="0.25"/>
    <row r="714" ht="13.2" customHeight="1" x14ac:dyDescent="0.25"/>
    <row r="715" ht="13.2" customHeight="1" x14ac:dyDescent="0.25"/>
    <row r="716" ht="13.2" customHeight="1" x14ac:dyDescent="0.25"/>
    <row r="717" ht="13.2" customHeight="1" x14ac:dyDescent="0.25"/>
    <row r="718" ht="13.2" customHeight="1" x14ac:dyDescent="0.25"/>
    <row r="719" ht="13.2" customHeight="1" x14ac:dyDescent="0.25"/>
    <row r="720" ht="13.2" customHeight="1" x14ac:dyDescent="0.25"/>
    <row r="721" ht="13.2" customHeight="1" x14ac:dyDescent="0.25"/>
    <row r="722" ht="13.2" customHeight="1" x14ac:dyDescent="0.25"/>
    <row r="723" ht="13.2" customHeight="1" x14ac:dyDescent="0.25"/>
    <row r="724" ht="13.2" customHeight="1" x14ac:dyDescent="0.25"/>
    <row r="725" ht="13.2" customHeight="1" x14ac:dyDescent="0.25"/>
    <row r="726" ht="13.2" customHeight="1" x14ac:dyDescent="0.25"/>
    <row r="727" ht="13.2" customHeight="1" x14ac:dyDescent="0.25"/>
    <row r="728" ht="13.2" customHeight="1" x14ac:dyDescent="0.25"/>
    <row r="729" ht="13.2" customHeight="1" x14ac:dyDescent="0.25"/>
    <row r="730" ht="13.2" customHeight="1" x14ac:dyDescent="0.25"/>
    <row r="731" ht="13.2" customHeight="1" x14ac:dyDescent="0.25"/>
    <row r="732" ht="13.2" customHeight="1" x14ac:dyDescent="0.25"/>
    <row r="733" ht="13.2" customHeight="1" x14ac:dyDescent="0.25"/>
    <row r="734" ht="13.2" customHeight="1" x14ac:dyDescent="0.25"/>
    <row r="735" ht="13.2" customHeight="1" x14ac:dyDescent="0.25"/>
    <row r="736" ht="13.2" customHeight="1" x14ac:dyDescent="0.25"/>
    <row r="737" ht="13.2" customHeight="1" x14ac:dyDescent="0.25"/>
    <row r="738" ht="13.2" customHeight="1" x14ac:dyDescent="0.25"/>
    <row r="739" ht="13.2" customHeight="1" x14ac:dyDescent="0.25"/>
    <row r="740" ht="13.2" customHeight="1" x14ac:dyDescent="0.25"/>
    <row r="741" ht="13.2" customHeight="1" x14ac:dyDescent="0.25"/>
    <row r="742" ht="13.2" customHeight="1" x14ac:dyDescent="0.25"/>
    <row r="743" ht="13.2" customHeight="1" x14ac:dyDescent="0.25"/>
    <row r="744" ht="13.2" customHeight="1" x14ac:dyDescent="0.25"/>
    <row r="745" ht="13.2" customHeight="1" x14ac:dyDescent="0.25"/>
    <row r="746" ht="13.2" customHeight="1" x14ac:dyDescent="0.25"/>
    <row r="747" ht="13.2" customHeight="1" x14ac:dyDescent="0.25"/>
    <row r="748" ht="13.2" customHeight="1" x14ac:dyDescent="0.25"/>
    <row r="749" ht="13.2" customHeight="1" x14ac:dyDescent="0.25"/>
    <row r="750" ht="13.2" customHeight="1" x14ac:dyDescent="0.25"/>
    <row r="751" ht="13.2" customHeight="1" x14ac:dyDescent="0.25"/>
    <row r="752" ht="13.2" customHeight="1" x14ac:dyDescent="0.25"/>
    <row r="753" ht="13.2" customHeight="1" x14ac:dyDescent="0.25"/>
    <row r="754" ht="13.2" customHeight="1" x14ac:dyDescent="0.25"/>
    <row r="755" ht="13.2" customHeight="1" x14ac:dyDescent="0.25"/>
    <row r="756" ht="13.2" customHeight="1" x14ac:dyDescent="0.25"/>
    <row r="757" ht="13.2" customHeight="1" x14ac:dyDescent="0.25"/>
    <row r="758" ht="13.2" customHeight="1" x14ac:dyDescent="0.25"/>
    <row r="759" ht="13.2" customHeight="1" x14ac:dyDescent="0.25"/>
    <row r="760" ht="13.2" customHeight="1" x14ac:dyDescent="0.25"/>
    <row r="761" ht="13.2" customHeight="1" x14ac:dyDescent="0.25"/>
    <row r="762" ht="13.2" customHeight="1" x14ac:dyDescent="0.25"/>
    <row r="763" ht="13.2" customHeight="1" x14ac:dyDescent="0.25"/>
    <row r="764" ht="13.2" customHeight="1" x14ac:dyDescent="0.25"/>
    <row r="765" ht="13.2" customHeight="1" x14ac:dyDescent="0.25"/>
    <row r="766" ht="13.2" customHeight="1" x14ac:dyDescent="0.25"/>
    <row r="767" ht="13.2" customHeight="1" x14ac:dyDescent="0.25"/>
    <row r="768" ht="13.2" customHeight="1" x14ac:dyDescent="0.25"/>
    <row r="769" ht="13.2" customHeight="1" x14ac:dyDescent="0.25"/>
    <row r="770" ht="13.2" customHeight="1" x14ac:dyDescent="0.25"/>
    <row r="771" ht="13.2" customHeight="1" x14ac:dyDescent="0.25"/>
    <row r="772" ht="13.2" customHeight="1" x14ac:dyDescent="0.25"/>
    <row r="773" ht="13.2" customHeight="1" x14ac:dyDescent="0.25"/>
    <row r="774" ht="13.2" customHeight="1" x14ac:dyDescent="0.25"/>
    <row r="775" ht="13.2" customHeight="1" x14ac:dyDescent="0.25"/>
    <row r="776" ht="13.2" customHeight="1" x14ac:dyDescent="0.25"/>
    <row r="777" ht="13.2" customHeight="1" x14ac:dyDescent="0.25"/>
    <row r="778" ht="13.2" customHeight="1" x14ac:dyDescent="0.25"/>
    <row r="779" ht="13.2" customHeight="1" x14ac:dyDescent="0.25"/>
    <row r="780" ht="13.2" customHeight="1" x14ac:dyDescent="0.25"/>
    <row r="781" ht="13.2" customHeight="1" x14ac:dyDescent="0.25"/>
    <row r="782" ht="13.2" customHeight="1" x14ac:dyDescent="0.25"/>
    <row r="783" ht="13.2" customHeight="1" x14ac:dyDescent="0.25"/>
    <row r="784" ht="13.2" customHeight="1" x14ac:dyDescent="0.25"/>
    <row r="785" ht="13.2" customHeight="1" x14ac:dyDescent="0.25"/>
    <row r="786" ht="13.2" customHeight="1" x14ac:dyDescent="0.25"/>
    <row r="787" ht="13.2" customHeight="1" x14ac:dyDescent="0.25"/>
    <row r="788" ht="13.2" customHeight="1" x14ac:dyDescent="0.25"/>
    <row r="789" ht="13.2" customHeight="1" x14ac:dyDescent="0.25"/>
    <row r="790" ht="13.2" customHeight="1" x14ac:dyDescent="0.25"/>
    <row r="791" ht="13.2" customHeight="1" x14ac:dyDescent="0.25"/>
    <row r="792" ht="13.2" customHeight="1" x14ac:dyDescent="0.25"/>
    <row r="793" ht="13.2" customHeight="1" x14ac:dyDescent="0.25"/>
    <row r="794" ht="13.2" customHeight="1" x14ac:dyDescent="0.25"/>
    <row r="795" ht="13.2" customHeight="1" x14ac:dyDescent="0.25"/>
    <row r="796" ht="13.2" customHeight="1" x14ac:dyDescent="0.25"/>
    <row r="797" ht="13.2" customHeight="1" x14ac:dyDescent="0.25"/>
    <row r="798" ht="13.2" customHeight="1" x14ac:dyDescent="0.25"/>
    <row r="799" ht="13.2" customHeight="1" x14ac:dyDescent="0.25"/>
    <row r="800" ht="13.2" customHeight="1" x14ac:dyDescent="0.25"/>
    <row r="801" ht="13.2" customHeight="1" x14ac:dyDescent="0.25"/>
    <row r="802" ht="13.2" customHeight="1" x14ac:dyDescent="0.25"/>
    <row r="803" ht="13.2" customHeight="1" x14ac:dyDescent="0.25"/>
    <row r="804" ht="13.2" customHeight="1" x14ac:dyDescent="0.25"/>
    <row r="805" ht="13.2" customHeight="1" x14ac:dyDescent="0.25"/>
    <row r="806" ht="13.2" customHeight="1" x14ac:dyDescent="0.25"/>
    <row r="807" ht="13.2" customHeight="1" x14ac:dyDescent="0.25"/>
    <row r="808" ht="13.2" customHeight="1" x14ac:dyDescent="0.25"/>
    <row r="809" ht="13.2" customHeight="1" x14ac:dyDescent="0.25"/>
    <row r="810" ht="13.2" customHeight="1" x14ac:dyDescent="0.25"/>
    <row r="811" ht="13.2" customHeight="1" x14ac:dyDescent="0.25"/>
    <row r="812" ht="13.2" customHeight="1" x14ac:dyDescent="0.25"/>
    <row r="813" ht="13.2" customHeight="1" x14ac:dyDescent="0.25"/>
    <row r="814" ht="13.2" customHeight="1" x14ac:dyDescent="0.25"/>
    <row r="815" ht="13.2" customHeight="1" x14ac:dyDescent="0.25"/>
    <row r="816" ht="13.2" customHeight="1" x14ac:dyDescent="0.25"/>
    <row r="817" ht="13.2" customHeight="1" x14ac:dyDescent="0.25"/>
    <row r="818" ht="13.2" customHeight="1" x14ac:dyDescent="0.25"/>
    <row r="819" ht="13.2" customHeight="1" x14ac:dyDescent="0.25"/>
    <row r="820" ht="13.2" customHeight="1" x14ac:dyDescent="0.25"/>
    <row r="821" ht="13.2" customHeight="1" x14ac:dyDescent="0.25"/>
    <row r="822" ht="13.2" customHeight="1" x14ac:dyDescent="0.25"/>
    <row r="823" ht="13.2" customHeight="1" x14ac:dyDescent="0.25"/>
    <row r="824" ht="13.2" customHeight="1" x14ac:dyDescent="0.25"/>
    <row r="825" ht="13.2" customHeight="1" x14ac:dyDescent="0.25"/>
    <row r="826" ht="13.2" customHeight="1" x14ac:dyDescent="0.25"/>
    <row r="827" ht="13.2" customHeight="1" x14ac:dyDescent="0.25"/>
    <row r="828" ht="13.2" customHeight="1" x14ac:dyDescent="0.25"/>
    <row r="829" ht="13.2" customHeight="1" x14ac:dyDescent="0.25"/>
    <row r="830" ht="13.2" customHeight="1" x14ac:dyDescent="0.25"/>
    <row r="831" ht="13.2" customHeight="1" x14ac:dyDescent="0.25"/>
    <row r="832" ht="13.2" customHeight="1" x14ac:dyDescent="0.25"/>
    <row r="833" ht="13.2" customHeight="1" x14ac:dyDescent="0.25"/>
    <row r="834" ht="13.2" customHeight="1" x14ac:dyDescent="0.25"/>
    <row r="835" ht="13.2" customHeight="1" x14ac:dyDescent="0.25"/>
    <row r="836" ht="13.2" customHeight="1" x14ac:dyDescent="0.25"/>
    <row r="837" ht="13.2" customHeight="1" x14ac:dyDescent="0.25"/>
    <row r="838" ht="13.2" customHeight="1" x14ac:dyDescent="0.25"/>
    <row r="839" ht="13.2" customHeight="1" x14ac:dyDescent="0.25"/>
    <row r="840" ht="13.2" customHeight="1" x14ac:dyDescent="0.25"/>
    <row r="841" ht="13.2" customHeight="1" x14ac:dyDescent="0.25"/>
    <row r="842" ht="13.2" customHeight="1" x14ac:dyDescent="0.25"/>
    <row r="843" ht="13.2" customHeight="1" x14ac:dyDescent="0.25"/>
    <row r="844" ht="13.2" customHeight="1" x14ac:dyDescent="0.25"/>
    <row r="845" ht="13.2" customHeight="1" x14ac:dyDescent="0.25"/>
    <row r="846" ht="13.2" customHeight="1" x14ac:dyDescent="0.25"/>
    <row r="847" ht="13.2" customHeight="1" x14ac:dyDescent="0.25"/>
    <row r="848" ht="13.2" customHeight="1" x14ac:dyDescent="0.25"/>
    <row r="849" ht="13.2" customHeight="1" x14ac:dyDescent="0.25"/>
    <row r="850" ht="13.2" customHeight="1" x14ac:dyDescent="0.25"/>
    <row r="851" ht="13.2" customHeight="1" x14ac:dyDescent="0.25"/>
    <row r="852" ht="13.2" customHeight="1" x14ac:dyDescent="0.25"/>
    <row r="853" ht="13.2" customHeight="1" x14ac:dyDescent="0.25"/>
    <row r="854" ht="13.2" customHeight="1" x14ac:dyDescent="0.25"/>
    <row r="855" ht="13.2" customHeight="1" x14ac:dyDescent="0.25"/>
    <row r="856" ht="13.2" customHeight="1" x14ac:dyDescent="0.25"/>
    <row r="857" ht="13.2" customHeight="1" x14ac:dyDescent="0.25"/>
    <row r="858" ht="13.2" customHeight="1" x14ac:dyDescent="0.25"/>
    <row r="859" ht="13.2" customHeight="1" x14ac:dyDescent="0.25"/>
    <row r="860" ht="13.2" customHeight="1" x14ac:dyDescent="0.25"/>
    <row r="861" ht="13.2" customHeight="1" x14ac:dyDescent="0.25"/>
    <row r="862" ht="13.2" customHeight="1" x14ac:dyDescent="0.25"/>
    <row r="863" ht="13.2" customHeight="1" x14ac:dyDescent="0.25"/>
    <row r="864" ht="13.2" customHeight="1" x14ac:dyDescent="0.25"/>
    <row r="865" ht="13.2" customHeight="1" x14ac:dyDescent="0.25"/>
    <row r="866" ht="13.2" customHeight="1" x14ac:dyDescent="0.25"/>
    <row r="867" ht="13.2" customHeight="1" x14ac:dyDescent="0.25"/>
    <row r="868" ht="13.2" customHeight="1" x14ac:dyDescent="0.25"/>
    <row r="869" ht="13.2" customHeight="1" x14ac:dyDescent="0.25"/>
    <row r="870" ht="13.2" customHeight="1" x14ac:dyDescent="0.25"/>
    <row r="871" ht="13.2" customHeight="1" x14ac:dyDescent="0.25"/>
    <row r="872" ht="13.2" customHeight="1" x14ac:dyDescent="0.25"/>
    <row r="873" ht="13.2" customHeight="1" x14ac:dyDescent="0.25"/>
    <row r="874" ht="13.2" customHeight="1" x14ac:dyDescent="0.25"/>
    <row r="875" ht="13.2" customHeight="1" x14ac:dyDescent="0.25"/>
    <row r="876" ht="13.2" customHeight="1" x14ac:dyDescent="0.25"/>
    <row r="877" ht="13.2" customHeight="1" x14ac:dyDescent="0.25"/>
    <row r="878" ht="13.2" customHeight="1" x14ac:dyDescent="0.25"/>
    <row r="879" ht="13.2" customHeight="1" x14ac:dyDescent="0.25"/>
    <row r="880" ht="13.2" customHeight="1" x14ac:dyDescent="0.25"/>
    <row r="881" ht="13.2" customHeight="1" x14ac:dyDescent="0.25"/>
    <row r="882" ht="13.2" customHeight="1" x14ac:dyDescent="0.25"/>
    <row r="883" ht="13.2" customHeight="1" x14ac:dyDescent="0.25"/>
    <row r="884" ht="13.2" customHeight="1" x14ac:dyDescent="0.25"/>
    <row r="885" ht="13.2" customHeight="1" x14ac:dyDescent="0.25"/>
    <row r="886" ht="13.2" customHeight="1" x14ac:dyDescent="0.25"/>
    <row r="887" ht="13.2" customHeight="1" x14ac:dyDescent="0.25"/>
    <row r="888" ht="13.2" customHeight="1" x14ac:dyDescent="0.25"/>
    <row r="889" ht="13.2" customHeight="1" x14ac:dyDescent="0.25"/>
    <row r="890" ht="13.2" customHeight="1" x14ac:dyDescent="0.25"/>
    <row r="891" ht="13.2" customHeight="1" x14ac:dyDescent="0.25"/>
    <row r="892" ht="13.2" customHeight="1" x14ac:dyDescent="0.25"/>
    <row r="893" ht="13.2" customHeight="1" x14ac:dyDescent="0.25"/>
    <row r="894" ht="13.2" customHeight="1" x14ac:dyDescent="0.25"/>
    <row r="895" ht="13.2" customHeight="1" x14ac:dyDescent="0.25"/>
    <row r="896" ht="13.2" customHeight="1" x14ac:dyDescent="0.25"/>
    <row r="897" ht="13.2" customHeight="1" x14ac:dyDescent="0.25"/>
    <row r="898" ht="13.2" customHeight="1" x14ac:dyDescent="0.25"/>
    <row r="899" ht="13.2" customHeight="1" x14ac:dyDescent="0.25"/>
    <row r="900" ht="13.2" customHeight="1" x14ac:dyDescent="0.25"/>
    <row r="901" ht="13.2" customHeight="1" x14ac:dyDescent="0.25"/>
    <row r="902" ht="13.2" customHeight="1" x14ac:dyDescent="0.25"/>
    <row r="903" ht="13.2" customHeight="1" x14ac:dyDescent="0.25"/>
    <row r="904" ht="13.2" customHeight="1" x14ac:dyDescent="0.25"/>
    <row r="905" ht="13.2" customHeight="1" x14ac:dyDescent="0.25"/>
    <row r="906" ht="13.2" customHeight="1" x14ac:dyDescent="0.25"/>
    <row r="907" ht="13.2" customHeight="1" x14ac:dyDescent="0.25"/>
    <row r="908" ht="13.2" customHeight="1" x14ac:dyDescent="0.25"/>
    <row r="909" ht="13.2" customHeight="1" x14ac:dyDescent="0.25"/>
    <row r="910" ht="13.2" customHeight="1" x14ac:dyDescent="0.25"/>
    <row r="911" ht="13.2" customHeight="1" x14ac:dyDescent="0.25"/>
    <row r="912" ht="13.2" customHeight="1" x14ac:dyDescent="0.25"/>
    <row r="913" ht="13.2" customHeight="1" x14ac:dyDescent="0.25"/>
    <row r="914" ht="13.2" customHeight="1" x14ac:dyDescent="0.25"/>
    <row r="915" ht="13.2" customHeight="1" x14ac:dyDescent="0.25"/>
    <row r="916" ht="13.2" customHeight="1" x14ac:dyDescent="0.25"/>
    <row r="917" ht="13.2" customHeight="1" x14ac:dyDescent="0.25"/>
    <row r="918" ht="13.2" customHeight="1" x14ac:dyDescent="0.25"/>
    <row r="919" ht="13.2" customHeight="1" x14ac:dyDescent="0.25"/>
    <row r="920" ht="13.2" customHeight="1" x14ac:dyDescent="0.25"/>
    <row r="921" ht="13.2" customHeight="1" x14ac:dyDescent="0.25"/>
    <row r="922" ht="13.2" customHeight="1" x14ac:dyDescent="0.25"/>
    <row r="923" ht="13.2" customHeight="1" x14ac:dyDescent="0.25"/>
    <row r="924" ht="13.2" customHeight="1" x14ac:dyDescent="0.25"/>
    <row r="925" ht="13.2" customHeight="1" x14ac:dyDescent="0.25"/>
    <row r="926" ht="13.2" customHeight="1" x14ac:dyDescent="0.25"/>
    <row r="927" ht="13.2" customHeight="1" x14ac:dyDescent="0.25"/>
    <row r="928" ht="13.2" customHeight="1" x14ac:dyDescent="0.25"/>
    <row r="929" ht="13.2" customHeight="1" x14ac:dyDescent="0.25"/>
    <row r="930" ht="13.2" customHeight="1" x14ac:dyDescent="0.25"/>
    <row r="931" ht="13.2" customHeight="1" x14ac:dyDescent="0.25"/>
    <row r="932" ht="13.2" customHeight="1" x14ac:dyDescent="0.25"/>
    <row r="933" ht="13.2" customHeight="1" x14ac:dyDescent="0.25"/>
    <row r="934" ht="13.2" customHeight="1" x14ac:dyDescent="0.25"/>
    <row r="935" ht="13.2" customHeight="1" x14ac:dyDescent="0.25"/>
    <row r="936" ht="13.2" customHeight="1" x14ac:dyDescent="0.25"/>
    <row r="937" ht="13.2" customHeight="1" x14ac:dyDescent="0.25"/>
    <row r="938" ht="13.2" customHeight="1" x14ac:dyDescent="0.25"/>
    <row r="939" ht="13.2" customHeight="1" x14ac:dyDescent="0.25"/>
    <row r="940" ht="13.2" customHeight="1" x14ac:dyDescent="0.25"/>
    <row r="941" ht="13.2" customHeight="1" x14ac:dyDescent="0.25"/>
    <row r="942" ht="13.2" customHeight="1" x14ac:dyDescent="0.25"/>
    <row r="943" ht="13.2" customHeight="1" x14ac:dyDescent="0.25"/>
    <row r="944" ht="13.2" customHeight="1" x14ac:dyDescent="0.25"/>
    <row r="945" ht="13.2" customHeight="1" x14ac:dyDescent="0.25"/>
    <row r="946" ht="13.2" customHeight="1" x14ac:dyDescent="0.25"/>
    <row r="947" ht="13.2" customHeight="1" x14ac:dyDescent="0.25"/>
    <row r="948" ht="13.2" customHeight="1" x14ac:dyDescent="0.25"/>
    <row r="949" ht="13.2" customHeight="1" x14ac:dyDescent="0.25"/>
    <row r="950" ht="13.2" customHeight="1" x14ac:dyDescent="0.25"/>
    <row r="951" ht="13.2" customHeight="1" x14ac:dyDescent="0.25"/>
    <row r="952" ht="13.2" customHeight="1" x14ac:dyDescent="0.25"/>
    <row r="953" ht="13.2" customHeight="1" x14ac:dyDescent="0.25"/>
    <row r="954" ht="13.2" customHeight="1" x14ac:dyDescent="0.25"/>
    <row r="955" ht="13.2" customHeight="1" x14ac:dyDescent="0.25"/>
    <row r="956" ht="13.2" customHeight="1" x14ac:dyDescent="0.25"/>
    <row r="957" ht="13.2" customHeight="1" x14ac:dyDescent="0.25"/>
    <row r="958" ht="13.2" customHeight="1" x14ac:dyDescent="0.25"/>
    <row r="959" ht="13.2" customHeight="1" x14ac:dyDescent="0.25"/>
    <row r="960" ht="13.2" customHeight="1" x14ac:dyDescent="0.25"/>
    <row r="961" ht="13.2" customHeight="1" x14ac:dyDescent="0.25"/>
    <row r="962" ht="13.2" customHeight="1" x14ac:dyDescent="0.25"/>
    <row r="963" ht="13.2" customHeight="1" x14ac:dyDescent="0.25"/>
    <row r="964" ht="13.2" customHeight="1" x14ac:dyDescent="0.25"/>
    <row r="965" ht="13.2" customHeight="1" x14ac:dyDescent="0.25"/>
    <row r="966" ht="13.2" customHeight="1" x14ac:dyDescent="0.25"/>
    <row r="967" ht="13.2" customHeight="1" x14ac:dyDescent="0.25"/>
    <row r="968" ht="13.2" customHeight="1" x14ac:dyDescent="0.25"/>
    <row r="969" ht="13.2" customHeight="1" x14ac:dyDescent="0.25"/>
    <row r="970" ht="13.2" customHeight="1" x14ac:dyDescent="0.25"/>
    <row r="971" ht="13.2" customHeight="1" x14ac:dyDescent="0.25"/>
    <row r="972" ht="13.2" customHeight="1" x14ac:dyDescent="0.25"/>
    <row r="973" ht="13.2" customHeight="1" x14ac:dyDescent="0.25"/>
    <row r="974" ht="13.2" customHeight="1" x14ac:dyDescent="0.25"/>
    <row r="975" ht="13.2" customHeight="1" x14ac:dyDescent="0.25"/>
    <row r="976" ht="13.2" customHeight="1" x14ac:dyDescent="0.25"/>
    <row r="977" ht="13.2" customHeight="1" x14ac:dyDescent="0.25"/>
    <row r="978" ht="13.2" customHeight="1" x14ac:dyDescent="0.25"/>
    <row r="979" ht="13.2" customHeight="1" x14ac:dyDescent="0.25"/>
    <row r="980" ht="13.2" customHeight="1" x14ac:dyDescent="0.25"/>
    <row r="981" ht="13.2" customHeight="1" x14ac:dyDescent="0.25"/>
    <row r="982" ht="13.2" customHeight="1" x14ac:dyDescent="0.25"/>
    <row r="983" ht="13.2" customHeight="1" x14ac:dyDescent="0.25"/>
    <row r="984" ht="13.2" customHeight="1" x14ac:dyDescent="0.25"/>
    <row r="985" ht="13.2" customHeight="1" x14ac:dyDescent="0.25"/>
    <row r="986" ht="13.2" customHeight="1" x14ac:dyDescent="0.25"/>
    <row r="987" ht="13.2" customHeight="1" x14ac:dyDescent="0.25"/>
    <row r="988" ht="13.2" customHeight="1" x14ac:dyDescent="0.25"/>
    <row r="989" ht="13.2" customHeight="1" x14ac:dyDescent="0.25"/>
    <row r="990" ht="13.2" customHeight="1" x14ac:dyDescent="0.25"/>
    <row r="991" ht="13.2" customHeight="1" x14ac:dyDescent="0.25"/>
    <row r="992" ht="13.2" customHeight="1" x14ac:dyDescent="0.25"/>
    <row r="993" ht="13.2" customHeight="1" x14ac:dyDescent="0.25"/>
    <row r="994" ht="13.2" customHeight="1" x14ac:dyDescent="0.25"/>
    <row r="995" ht="13.2" customHeight="1" x14ac:dyDescent="0.25"/>
    <row r="996" ht="13.2" customHeight="1" x14ac:dyDescent="0.25"/>
    <row r="997" ht="13.2" customHeight="1" x14ac:dyDescent="0.25"/>
    <row r="998" ht="13.2" customHeight="1" x14ac:dyDescent="0.25"/>
    <row r="999" ht="13.2" customHeight="1" x14ac:dyDescent="0.25"/>
  </sheetData>
  <mergeCells count="1">
    <mergeCell ref="A1:F1"/>
  </mergeCells>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Q225"/>
  <sheetViews>
    <sheetView topLeftCell="E1" workbookViewId="0">
      <pane ySplit="2" topLeftCell="A3" activePane="bottomLeft" state="frozen"/>
      <selection pane="bottomLeft" activeCell="A3" sqref="A3:P225"/>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33">
        <v>1</v>
      </c>
      <c r="B3" s="34" t="s">
        <v>2712</v>
      </c>
      <c r="C3" s="35"/>
      <c r="D3" s="34" t="s">
        <v>2713</v>
      </c>
      <c r="E3" s="34" t="s">
        <v>2714</v>
      </c>
      <c r="F3" s="34" t="s">
        <v>2715</v>
      </c>
      <c r="G3" s="34" t="s">
        <v>2716</v>
      </c>
      <c r="H3" s="34" t="s">
        <v>2717</v>
      </c>
      <c r="I3" s="33">
        <v>5</v>
      </c>
      <c r="J3" s="34" t="s">
        <v>2718</v>
      </c>
      <c r="K3" s="35"/>
      <c r="L3" s="34" t="s">
        <v>2719</v>
      </c>
      <c r="M3" s="35" t="s">
        <v>29</v>
      </c>
      <c r="N3" s="34" t="s">
        <v>1685</v>
      </c>
      <c r="O3" s="35" t="s">
        <v>816</v>
      </c>
      <c r="P3" s="35" t="s">
        <v>669</v>
      </c>
    </row>
    <row r="4" spans="1:16" ht="13.2" customHeight="1" x14ac:dyDescent="0.25">
      <c r="A4" s="33">
        <v>2</v>
      </c>
      <c r="B4" s="34" t="s">
        <v>2720</v>
      </c>
      <c r="C4" s="35"/>
      <c r="D4" s="34" t="s">
        <v>2721</v>
      </c>
      <c r="E4" s="34" t="s">
        <v>2722</v>
      </c>
      <c r="F4" s="34" t="s">
        <v>2723</v>
      </c>
      <c r="G4" s="34" t="s">
        <v>2724</v>
      </c>
      <c r="H4" s="34" t="s">
        <v>2725</v>
      </c>
      <c r="I4" s="33" t="s">
        <v>96</v>
      </c>
      <c r="J4" s="34" t="s">
        <v>2726</v>
      </c>
      <c r="K4" s="35"/>
      <c r="L4" s="34" t="s">
        <v>2719</v>
      </c>
      <c r="M4" s="35" t="s">
        <v>29</v>
      </c>
      <c r="N4" s="34" t="s">
        <v>2727</v>
      </c>
      <c r="O4" s="35" t="s">
        <v>816</v>
      </c>
      <c r="P4" s="35" t="s">
        <v>669</v>
      </c>
    </row>
    <row r="5" spans="1:16" ht="13.2" customHeight="1" x14ac:dyDescent="0.25">
      <c r="A5" s="33">
        <v>3</v>
      </c>
      <c r="B5" s="34" t="s">
        <v>2728</v>
      </c>
      <c r="C5" s="35"/>
      <c r="D5" s="34" t="s">
        <v>2729</v>
      </c>
      <c r="E5" s="34" t="s">
        <v>2730</v>
      </c>
      <c r="F5" s="34" t="s">
        <v>2731</v>
      </c>
      <c r="G5" s="34" t="s">
        <v>2732</v>
      </c>
      <c r="H5" s="34" t="s">
        <v>2733</v>
      </c>
      <c r="I5" s="33">
        <v>4</v>
      </c>
      <c r="J5" s="34" t="s">
        <v>2734</v>
      </c>
      <c r="K5" s="35"/>
      <c r="L5" s="34" t="s">
        <v>2719</v>
      </c>
      <c r="M5" s="35" t="s">
        <v>29</v>
      </c>
      <c r="N5" s="34" t="s">
        <v>2735</v>
      </c>
      <c r="O5" s="35" t="s">
        <v>816</v>
      </c>
      <c r="P5" s="35" t="s">
        <v>669</v>
      </c>
    </row>
    <row r="6" spans="1:16" ht="13.2" customHeight="1" x14ac:dyDescent="0.25">
      <c r="A6" s="33">
        <v>4</v>
      </c>
      <c r="B6" s="34" t="s">
        <v>2736</v>
      </c>
      <c r="C6" s="35"/>
      <c r="D6" s="34" t="s">
        <v>2737</v>
      </c>
      <c r="E6" s="34" t="s">
        <v>2738</v>
      </c>
      <c r="F6" s="34" t="s">
        <v>2739</v>
      </c>
      <c r="G6" s="34" t="s">
        <v>2740</v>
      </c>
      <c r="H6" s="34" t="s">
        <v>2741</v>
      </c>
      <c r="I6" s="33" t="s">
        <v>90</v>
      </c>
      <c r="J6" s="34" t="s">
        <v>2742</v>
      </c>
      <c r="K6" s="35"/>
      <c r="L6" s="34" t="s">
        <v>2719</v>
      </c>
      <c r="M6" s="35" t="s">
        <v>29</v>
      </c>
      <c r="N6" s="34" t="s">
        <v>2743</v>
      </c>
      <c r="O6" s="35" t="s">
        <v>816</v>
      </c>
      <c r="P6" s="35" t="s">
        <v>669</v>
      </c>
    </row>
    <row r="7" spans="1:16" ht="13.2" customHeight="1" x14ac:dyDescent="0.25">
      <c r="A7" s="33">
        <v>5</v>
      </c>
      <c r="B7" s="34" t="s">
        <v>2744</v>
      </c>
      <c r="C7" s="35"/>
      <c r="D7" s="34" t="s">
        <v>2745</v>
      </c>
      <c r="E7" s="34" t="s">
        <v>2746</v>
      </c>
      <c r="F7" s="34" t="s">
        <v>2747</v>
      </c>
      <c r="G7" s="34" t="s">
        <v>2748</v>
      </c>
      <c r="H7" s="34" t="s">
        <v>2749</v>
      </c>
      <c r="I7" s="33">
        <v>4</v>
      </c>
      <c r="J7" s="34" t="s">
        <v>2750</v>
      </c>
      <c r="K7" s="35"/>
      <c r="L7" s="34" t="s">
        <v>2719</v>
      </c>
      <c r="M7" s="35" t="s">
        <v>29</v>
      </c>
      <c r="N7" s="34" t="s">
        <v>2751</v>
      </c>
      <c r="O7" s="35" t="s">
        <v>816</v>
      </c>
      <c r="P7" s="35" t="s">
        <v>669</v>
      </c>
    </row>
    <row r="8" spans="1:16" ht="13.2" customHeight="1" x14ac:dyDescent="0.25">
      <c r="A8" s="33">
        <v>6</v>
      </c>
      <c r="B8" s="34" t="s">
        <v>2752</v>
      </c>
      <c r="C8" s="35"/>
      <c r="D8" s="34" t="s">
        <v>2753</v>
      </c>
      <c r="E8" s="34" t="s">
        <v>2754</v>
      </c>
      <c r="F8" s="34" t="s">
        <v>2755</v>
      </c>
      <c r="G8" s="34" t="s">
        <v>2756</v>
      </c>
      <c r="H8" s="34" t="s">
        <v>2757</v>
      </c>
      <c r="I8" s="33" t="s">
        <v>84</v>
      </c>
      <c r="J8" s="34" t="s">
        <v>2758</v>
      </c>
      <c r="K8" s="35"/>
      <c r="L8" s="34" t="s">
        <v>2719</v>
      </c>
      <c r="M8" s="35" t="s">
        <v>29</v>
      </c>
      <c r="N8" s="34" t="s">
        <v>2759</v>
      </c>
      <c r="O8" s="35" t="s">
        <v>816</v>
      </c>
      <c r="P8" s="35" t="s">
        <v>669</v>
      </c>
    </row>
    <row r="9" spans="1:16" ht="13.2" customHeight="1" x14ac:dyDescent="0.25">
      <c r="A9" s="33">
        <v>7</v>
      </c>
      <c r="B9" s="34" t="s">
        <v>2760</v>
      </c>
      <c r="C9" s="35"/>
      <c r="D9" s="34" t="s">
        <v>2761</v>
      </c>
      <c r="E9" s="34" t="s">
        <v>1887</v>
      </c>
      <c r="F9" s="34" t="s">
        <v>2762</v>
      </c>
      <c r="G9" s="34" t="s">
        <v>2763</v>
      </c>
      <c r="H9" s="34" t="s">
        <v>2764</v>
      </c>
      <c r="I9" s="33" t="s">
        <v>113</v>
      </c>
      <c r="J9" s="34" t="s">
        <v>2765</v>
      </c>
      <c r="K9" s="35"/>
      <c r="L9" s="34" t="s">
        <v>2719</v>
      </c>
      <c r="M9" s="35" t="s">
        <v>29</v>
      </c>
      <c r="N9" s="34" t="s">
        <v>707</v>
      </c>
      <c r="O9" s="35" t="s">
        <v>816</v>
      </c>
      <c r="P9" s="35" t="s">
        <v>669</v>
      </c>
    </row>
    <row r="10" spans="1:16" ht="13.2" customHeight="1" x14ac:dyDescent="0.25">
      <c r="A10" s="33">
        <v>8</v>
      </c>
      <c r="B10" s="34" t="s">
        <v>2766</v>
      </c>
      <c r="C10" s="35"/>
      <c r="D10" s="34" t="s">
        <v>2767</v>
      </c>
      <c r="E10" s="34" t="s">
        <v>2768</v>
      </c>
      <c r="F10" s="34" t="s">
        <v>2769</v>
      </c>
      <c r="G10" s="34" t="s">
        <v>2770</v>
      </c>
      <c r="H10" s="34" t="s">
        <v>2771</v>
      </c>
      <c r="I10" s="33" t="s">
        <v>123</v>
      </c>
      <c r="J10" s="34" t="s">
        <v>2772</v>
      </c>
      <c r="K10" s="35"/>
      <c r="L10" s="34" t="s">
        <v>2719</v>
      </c>
      <c r="M10" s="35" t="s">
        <v>29</v>
      </c>
      <c r="N10" s="34" t="s">
        <v>1733</v>
      </c>
      <c r="O10" s="35" t="s">
        <v>816</v>
      </c>
      <c r="P10" s="35" t="s">
        <v>669</v>
      </c>
    </row>
    <row r="11" spans="1:16" ht="13.2" customHeight="1" x14ac:dyDescent="0.25">
      <c r="A11" s="33">
        <v>9</v>
      </c>
      <c r="B11" s="34" t="s">
        <v>2773</v>
      </c>
      <c r="C11" s="35"/>
      <c r="D11" s="34" t="s">
        <v>2774</v>
      </c>
      <c r="E11" s="34" t="s">
        <v>2775</v>
      </c>
      <c r="F11" s="34" t="s">
        <v>2776</v>
      </c>
      <c r="G11" s="34" t="s">
        <v>2777</v>
      </c>
      <c r="H11" s="34" t="s">
        <v>2778</v>
      </c>
      <c r="I11" s="33" t="s">
        <v>90</v>
      </c>
      <c r="J11" s="34" t="s">
        <v>2779</v>
      </c>
      <c r="K11" s="35"/>
      <c r="L11" s="34" t="s">
        <v>2719</v>
      </c>
      <c r="M11" s="35" t="s">
        <v>29</v>
      </c>
      <c r="N11" s="34" t="s">
        <v>723</v>
      </c>
      <c r="O11" s="35" t="s">
        <v>816</v>
      </c>
      <c r="P11" s="35" t="s">
        <v>669</v>
      </c>
    </row>
    <row r="12" spans="1:16" ht="13.2" customHeight="1" x14ac:dyDescent="0.25">
      <c r="A12" s="33">
        <v>10</v>
      </c>
      <c r="B12" s="34" t="s">
        <v>2780</v>
      </c>
      <c r="C12" s="35"/>
      <c r="D12" s="34" t="s">
        <v>2781</v>
      </c>
      <c r="E12" s="34" t="s">
        <v>2782</v>
      </c>
      <c r="F12" s="34" t="s">
        <v>2783</v>
      </c>
      <c r="G12" s="34" t="s">
        <v>2784</v>
      </c>
      <c r="H12" s="34" t="s">
        <v>2785</v>
      </c>
      <c r="I12" s="33" t="s">
        <v>96</v>
      </c>
      <c r="J12" s="34" t="s">
        <v>2786</v>
      </c>
      <c r="K12" s="35"/>
      <c r="L12" s="34" t="s">
        <v>2719</v>
      </c>
      <c r="M12" s="35" t="s">
        <v>29</v>
      </c>
      <c r="N12" s="34" t="s">
        <v>2787</v>
      </c>
      <c r="O12" s="35" t="s">
        <v>816</v>
      </c>
      <c r="P12" s="35" t="s">
        <v>669</v>
      </c>
    </row>
    <row r="13" spans="1:16" ht="13.2" customHeight="1" x14ac:dyDescent="0.25">
      <c r="A13" s="33">
        <v>11</v>
      </c>
      <c r="B13" s="34" t="s">
        <v>2788</v>
      </c>
      <c r="C13" s="35"/>
      <c r="D13" s="34" t="s">
        <v>2789</v>
      </c>
      <c r="E13" s="34" t="s">
        <v>2790</v>
      </c>
      <c r="F13" s="34" t="s">
        <v>2791</v>
      </c>
      <c r="G13" s="34" t="s">
        <v>2792</v>
      </c>
      <c r="H13" s="34" t="s">
        <v>2793</v>
      </c>
      <c r="I13" s="33">
        <v>1</v>
      </c>
      <c r="J13" s="34" t="s">
        <v>2794</v>
      </c>
      <c r="K13" s="35"/>
      <c r="L13" s="34" t="s">
        <v>2719</v>
      </c>
      <c r="M13" s="35" t="s">
        <v>29</v>
      </c>
      <c r="N13" s="34" t="s">
        <v>1755</v>
      </c>
      <c r="O13" s="35" t="s">
        <v>816</v>
      </c>
      <c r="P13" s="35" t="s">
        <v>669</v>
      </c>
    </row>
    <row r="14" spans="1:16" ht="13.2" customHeight="1" x14ac:dyDescent="0.25">
      <c r="A14" s="33">
        <v>12</v>
      </c>
      <c r="B14" s="34" t="s">
        <v>2795</v>
      </c>
      <c r="C14" s="35"/>
      <c r="D14" s="34" t="s">
        <v>2796</v>
      </c>
      <c r="E14" s="34" t="s">
        <v>2797</v>
      </c>
      <c r="F14" s="34" t="s">
        <v>2798</v>
      </c>
      <c r="G14" s="34" t="s">
        <v>2799</v>
      </c>
      <c r="H14" s="34" t="s">
        <v>2800</v>
      </c>
      <c r="I14" s="33">
        <v>5</v>
      </c>
      <c r="J14" s="34" t="s">
        <v>2801</v>
      </c>
      <c r="K14" s="35"/>
      <c r="L14" s="34" t="s">
        <v>2719</v>
      </c>
      <c r="M14" s="35" t="s">
        <v>29</v>
      </c>
      <c r="N14" s="34" t="s">
        <v>2802</v>
      </c>
      <c r="O14" s="35" t="s">
        <v>816</v>
      </c>
      <c r="P14" s="35" t="s">
        <v>669</v>
      </c>
    </row>
    <row r="15" spans="1:16" ht="13.2" customHeight="1" x14ac:dyDescent="0.25">
      <c r="A15" s="33">
        <v>13</v>
      </c>
      <c r="B15" s="34" t="s">
        <v>2803</v>
      </c>
      <c r="C15" s="35"/>
      <c r="D15" s="34" t="s">
        <v>2804</v>
      </c>
      <c r="E15" s="34" t="s">
        <v>2805</v>
      </c>
      <c r="F15" s="34" t="s">
        <v>2806</v>
      </c>
      <c r="G15" s="34" t="s">
        <v>2807</v>
      </c>
      <c r="H15" s="34" t="s">
        <v>2808</v>
      </c>
      <c r="I15" s="33" t="s">
        <v>96</v>
      </c>
      <c r="J15" s="34" t="s">
        <v>2809</v>
      </c>
      <c r="K15" s="35"/>
      <c r="L15" s="34" t="s">
        <v>2719</v>
      </c>
      <c r="M15" s="35" t="s">
        <v>29</v>
      </c>
      <c r="N15" s="34" t="s">
        <v>1771</v>
      </c>
      <c r="O15" s="35" t="s">
        <v>816</v>
      </c>
      <c r="P15" s="35" t="s">
        <v>669</v>
      </c>
    </row>
    <row r="16" spans="1:16" ht="13.2" customHeight="1" x14ac:dyDescent="0.25">
      <c r="A16" s="33">
        <v>14</v>
      </c>
      <c r="B16" s="34" t="s">
        <v>2810</v>
      </c>
      <c r="C16" s="35"/>
      <c r="D16" s="34" t="s">
        <v>2811</v>
      </c>
      <c r="E16" s="34" t="s">
        <v>2812</v>
      </c>
      <c r="F16" s="34" t="s">
        <v>2813</v>
      </c>
      <c r="G16" s="34" t="s">
        <v>2814</v>
      </c>
      <c r="H16" s="34" t="s">
        <v>2815</v>
      </c>
      <c r="I16" s="33" t="s">
        <v>113</v>
      </c>
      <c r="J16" s="34" t="s">
        <v>2816</v>
      </c>
      <c r="K16" s="35"/>
      <c r="L16" s="34" t="s">
        <v>2719</v>
      </c>
      <c r="M16" s="35" t="s">
        <v>29</v>
      </c>
      <c r="N16" s="34" t="s">
        <v>1780</v>
      </c>
      <c r="O16" s="35" t="s">
        <v>816</v>
      </c>
      <c r="P16" s="35" t="s">
        <v>669</v>
      </c>
    </row>
    <row r="17" spans="1:16" ht="13.2" customHeight="1" x14ac:dyDescent="0.25">
      <c r="A17" s="33">
        <v>15</v>
      </c>
      <c r="B17" s="34" t="s">
        <v>2817</v>
      </c>
      <c r="C17" s="35"/>
      <c r="D17" s="34" t="s">
        <v>2818</v>
      </c>
      <c r="E17" s="34" t="s">
        <v>2819</v>
      </c>
      <c r="F17" s="34" t="s">
        <v>2820</v>
      </c>
      <c r="G17" s="34" t="s">
        <v>2821</v>
      </c>
      <c r="H17" s="34" t="s">
        <v>2822</v>
      </c>
      <c r="I17" s="33">
        <v>3</v>
      </c>
      <c r="J17" s="34" t="s">
        <v>2823</v>
      </c>
      <c r="K17" s="35"/>
      <c r="L17" s="34" t="s">
        <v>2719</v>
      </c>
      <c r="M17" s="35" t="s">
        <v>29</v>
      </c>
      <c r="N17" s="34" t="s">
        <v>757</v>
      </c>
      <c r="O17" s="35" t="s">
        <v>816</v>
      </c>
      <c r="P17" s="35" t="s">
        <v>669</v>
      </c>
    </row>
    <row r="18" spans="1:16" ht="13.2" customHeight="1" x14ac:dyDescent="0.25">
      <c r="A18" s="33">
        <v>16</v>
      </c>
      <c r="B18" s="34" t="s">
        <v>2824</v>
      </c>
      <c r="C18" s="35"/>
      <c r="D18" s="34" t="s">
        <v>2825</v>
      </c>
      <c r="E18" s="34" t="s">
        <v>2826</v>
      </c>
      <c r="F18" s="34" t="s">
        <v>2827</v>
      </c>
      <c r="G18" s="34" t="s">
        <v>2828</v>
      </c>
      <c r="H18" s="34" t="s">
        <v>2829</v>
      </c>
      <c r="I18" s="33" t="s">
        <v>123</v>
      </c>
      <c r="J18" s="34" t="s">
        <v>2830</v>
      </c>
      <c r="K18" s="35"/>
      <c r="L18" s="34" t="s">
        <v>2719</v>
      </c>
      <c r="M18" s="35" t="s">
        <v>29</v>
      </c>
      <c r="N18" s="34" t="s">
        <v>2831</v>
      </c>
      <c r="O18" s="35" t="s">
        <v>816</v>
      </c>
      <c r="P18" s="35" t="s">
        <v>669</v>
      </c>
    </row>
    <row r="19" spans="1:16" ht="13.2" customHeight="1" x14ac:dyDescent="0.25">
      <c r="A19" s="33">
        <v>17</v>
      </c>
      <c r="B19" s="34" t="s">
        <v>2832</v>
      </c>
      <c r="C19" s="35"/>
      <c r="D19" s="34" t="s">
        <v>2833</v>
      </c>
      <c r="E19" s="34" t="s">
        <v>2834</v>
      </c>
      <c r="F19" s="34" t="s">
        <v>2835</v>
      </c>
      <c r="G19" s="34" t="s">
        <v>2836</v>
      </c>
      <c r="H19" s="34" t="s">
        <v>2837</v>
      </c>
      <c r="I19" s="33" t="s">
        <v>123</v>
      </c>
      <c r="J19" s="34" t="s">
        <v>2838</v>
      </c>
      <c r="K19" s="35"/>
      <c r="L19" s="34" t="s">
        <v>2719</v>
      </c>
      <c r="M19" s="35" t="s">
        <v>29</v>
      </c>
      <c r="N19" s="34" t="s">
        <v>2839</v>
      </c>
      <c r="O19" s="35" t="s">
        <v>816</v>
      </c>
      <c r="P19" s="35" t="s">
        <v>669</v>
      </c>
    </row>
    <row r="20" spans="1:16" ht="13.2" customHeight="1" x14ac:dyDescent="0.25">
      <c r="A20" s="33">
        <v>18</v>
      </c>
      <c r="B20" s="34" t="s">
        <v>2840</v>
      </c>
      <c r="C20" s="35"/>
      <c r="D20" s="34" t="s">
        <v>2841</v>
      </c>
      <c r="E20" s="34" t="s">
        <v>2842</v>
      </c>
      <c r="F20" s="34" t="s">
        <v>2843</v>
      </c>
      <c r="G20" s="34" t="s">
        <v>2844</v>
      </c>
      <c r="H20" s="34" t="s">
        <v>2845</v>
      </c>
      <c r="I20" s="33">
        <v>2</v>
      </c>
      <c r="J20" s="34" t="s">
        <v>2846</v>
      </c>
      <c r="K20" s="35"/>
      <c r="L20" s="34" t="s">
        <v>2719</v>
      </c>
      <c r="M20" s="35" t="s">
        <v>29</v>
      </c>
      <c r="N20" s="34" t="s">
        <v>2847</v>
      </c>
      <c r="O20" s="35" t="s">
        <v>816</v>
      </c>
      <c r="P20" s="35" t="s">
        <v>669</v>
      </c>
    </row>
    <row r="21" spans="1:16" ht="13.2" customHeight="1" x14ac:dyDescent="0.25">
      <c r="A21" s="33">
        <v>19</v>
      </c>
      <c r="B21" s="34" t="s">
        <v>2848</v>
      </c>
      <c r="C21" s="35"/>
      <c r="D21" s="34" t="s">
        <v>2849</v>
      </c>
      <c r="E21" s="34" t="s">
        <v>2737</v>
      </c>
      <c r="F21" s="34" t="s">
        <v>2850</v>
      </c>
      <c r="G21" s="34" t="s">
        <v>2851</v>
      </c>
      <c r="H21" s="34" t="s">
        <v>2852</v>
      </c>
      <c r="I21" s="33" t="s">
        <v>96</v>
      </c>
      <c r="J21" s="34" t="s">
        <v>2853</v>
      </c>
      <c r="K21" s="35"/>
      <c r="L21" s="34" t="s">
        <v>2719</v>
      </c>
      <c r="M21" s="35" t="s">
        <v>29</v>
      </c>
      <c r="N21" s="34" t="s">
        <v>2854</v>
      </c>
      <c r="O21" s="35" t="s">
        <v>816</v>
      </c>
      <c r="P21" s="35" t="s">
        <v>669</v>
      </c>
    </row>
    <row r="22" spans="1:16" ht="13.2" customHeight="1" x14ac:dyDescent="0.25">
      <c r="A22" s="33">
        <v>20</v>
      </c>
      <c r="B22" s="34" t="s">
        <v>2855</v>
      </c>
      <c r="C22" s="35"/>
      <c r="D22" s="34" t="s">
        <v>2856</v>
      </c>
      <c r="E22" s="34" t="s">
        <v>2857</v>
      </c>
      <c r="F22" s="34" t="s">
        <v>2858</v>
      </c>
      <c r="G22" s="34" t="s">
        <v>2859</v>
      </c>
      <c r="H22" s="34" t="s">
        <v>2860</v>
      </c>
      <c r="I22" s="33">
        <v>1</v>
      </c>
      <c r="J22" s="34" t="s">
        <v>2861</v>
      </c>
      <c r="K22" s="35"/>
      <c r="L22" s="34" t="s">
        <v>2719</v>
      </c>
      <c r="M22" s="35" t="s">
        <v>29</v>
      </c>
      <c r="N22" s="34" t="s">
        <v>2862</v>
      </c>
      <c r="O22" s="35" t="s">
        <v>816</v>
      </c>
      <c r="P22" s="35" t="s">
        <v>669</v>
      </c>
    </row>
    <row r="23" spans="1:16" ht="13.2" customHeight="1" x14ac:dyDescent="0.25">
      <c r="A23" s="33">
        <v>21</v>
      </c>
      <c r="B23" s="34" t="s">
        <v>2863</v>
      </c>
      <c r="C23" s="35"/>
      <c r="D23" s="34" t="s">
        <v>2864</v>
      </c>
      <c r="E23" s="34" t="s">
        <v>2865</v>
      </c>
      <c r="F23" s="34" t="s">
        <v>2866</v>
      </c>
      <c r="G23" s="34" t="s">
        <v>2867</v>
      </c>
      <c r="H23" s="34" t="s">
        <v>2868</v>
      </c>
      <c r="I23" s="33" t="s">
        <v>113</v>
      </c>
      <c r="J23" s="34" t="s">
        <v>2869</v>
      </c>
      <c r="K23" s="35"/>
      <c r="L23" s="34" t="s">
        <v>2719</v>
      </c>
      <c r="M23" s="35" t="s">
        <v>29</v>
      </c>
      <c r="N23" s="34" t="s">
        <v>1831</v>
      </c>
      <c r="O23" s="35" t="s">
        <v>816</v>
      </c>
      <c r="P23" s="35" t="s">
        <v>669</v>
      </c>
    </row>
    <row r="24" spans="1:16" ht="13.2" customHeight="1" x14ac:dyDescent="0.25">
      <c r="A24" s="33">
        <v>22</v>
      </c>
      <c r="B24" s="34" t="s">
        <v>2870</v>
      </c>
      <c r="C24" s="35"/>
      <c r="D24" s="34" t="s">
        <v>2871</v>
      </c>
      <c r="E24" s="34" t="s">
        <v>2872</v>
      </c>
      <c r="F24" s="34" t="s">
        <v>2873</v>
      </c>
      <c r="G24" s="34" t="s">
        <v>2874</v>
      </c>
      <c r="H24" s="34" t="s">
        <v>2875</v>
      </c>
      <c r="I24" s="33" t="s">
        <v>84</v>
      </c>
      <c r="J24" s="34" t="s">
        <v>2876</v>
      </c>
      <c r="K24" s="35"/>
      <c r="L24" s="34" t="s">
        <v>2719</v>
      </c>
      <c r="M24" s="35" t="s">
        <v>29</v>
      </c>
      <c r="N24" s="34" t="s">
        <v>2877</v>
      </c>
      <c r="O24" s="35" t="s">
        <v>816</v>
      </c>
      <c r="P24" s="35" t="s">
        <v>669</v>
      </c>
    </row>
    <row r="25" spans="1:16" ht="13.2" customHeight="1" x14ac:dyDescent="0.25">
      <c r="A25" s="33">
        <v>23</v>
      </c>
      <c r="B25" s="34" t="s">
        <v>2878</v>
      </c>
      <c r="C25" s="35"/>
      <c r="D25" s="34" t="s">
        <v>2879</v>
      </c>
      <c r="E25" s="34" t="s">
        <v>2880</v>
      </c>
      <c r="F25" s="34" t="s">
        <v>2881</v>
      </c>
      <c r="G25" s="34" t="s">
        <v>2882</v>
      </c>
      <c r="H25" s="34" t="s">
        <v>2883</v>
      </c>
      <c r="I25" s="33">
        <v>2</v>
      </c>
      <c r="J25" s="34" t="s">
        <v>2884</v>
      </c>
      <c r="K25" s="35"/>
      <c r="L25" s="34" t="s">
        <v>2719</v>
      </c>
      <c r="M25" s="35" t="s">
        <v>29</v>
      </c>
      <c r="N25" s="34" t="s">
        <v>2885</v>
      </c>
      <c r="O25" s="35" t="s">
        <v>816</v>
      </c>
      <c r="P25" s="35" t="s">
        <v>669</v>
      </c>
    </row>
    <row r="26" spans="1:16" ht="13.2" customHeight="1" x14ac:dyDescent="0.25">
      <c r="A26" s="33">
        <v>24</v>
      </c>
      <c r="B26" s="34" t="s">
        <v>2886</v>
      </c>
      <c r="C26" s="35"/>
      <c r="D26" s="34" t="s">
        <v>2887</v>
      </c>
      <c r="E26" s="34" t="s">
        <v>2888</v>
      </c>
      <c r="F26" s="34" t="s">
        <v>2889</v>
      </c>
      <c r="G26" s="34" t="s">
        <v>2890</v>
      </c>
      <c r="H26" s="34" t="s">
        <v>2891</v>
      </c>
      <c r="I26" s="33" t="s">
        <v>113</v>
      </c>
      <c r="J26" s="34" t="s">
        <v>2892</v>
      </c>
      <c r="K26" s="35"/>
      <c r="L26" s="34" t="s">
        <v>2719</v>
      </c>
      <c r="M26" s="35" t="s">
        <v>29</v>
      </c>
      <c r="N26" s="34" t="s">
        <v>2893</v>
      </c>
      <c r="O26" s="35" t="s">
        <v>816</v>
      </c>
      <c r="P26" s="35" t="s">
        <v>669</v>
      </c>
    </row>
    <row r="27" spans="1:16" ht="13.2" customHeight="1" x14ac:dyDescent="0.25">
      <c r="A27" s="33">
        <v>25</v>
      </c>
      <c r="B27" s="34" t="s">
        <v>2894</v>
      </c>
      <c r="C27" s="35"/>
      <c r="D27" s="34" t="s">
        <v>2895</v>
      </c>
      <c r="E27" s="34" t="s">
        <v>2896</v>
      </c>
      <c r="F27" s="34" t="s">
        <v>2897</v>
      </c>
      <c r="G27" s="34" t="s">
        <v>2898</v>
      </c>
      <c r="H27" s="34" t="s">
        <v>2899</v>
      </c>
      <c r="I27" s="33">
        <v>3</v>
      </c>
      <c r="J27" s="34" t="s">
        <v>2900</v>
      </c>
      <c r="K27" s="35"/>
      <c r="L27" s="34" t="s">
        <v>2719</v>
      </c>
      <c r="M27" s="35" t="s">
        <v>29</v>
      </c>
      <c r="N27" s="34" t="s">
        <v>2901</v>
      </c>
      <c r="O27" s="35" t="s">
        <v>816</v>
      </c>
      <c r="P27" s="35" t="s">
        <v>669</v>
      </c>
    </row>
    <row r="28" spans="1:16" ht="13.2" customHeight="1" x14ac:dyDescent="0.25">
      <c r="A28" s="33">
        <v>26</v>
      </c>
      <c r="B28" s="34" t="s">
        <v>2902</v>
      </c>
      <c r="C28" s="35"/>
      <c r="D28" s="34" t="s">
        <v>2903</v>
      </c>
      <c r="E28" s="34" t="s">
        <v>614</v>
      </c>
      <c r="F28" s="34" t="s">
        <v>2904</v>
      </c>
      <c r="G28" s="34" t="s">
        <v>2905</v>
      </c>
      <c r="H28" s="34" t="s">
        <v>2906</v>
      </c>
      <c r="I28" s="33" t="s">
        <v>84</v>
      </c>
      <c r="J28" s="34" t="s">
        <v>2907</v>
      </c>
      <c r="K28" s="35"/>
      <c r="L28" s="34" t="s">
        <v>2719</v>
      </c>
      <c r="M28" s="35" t="s">
        <v>29</v>
      </c>
      <c r="N28" s="34" t="s">
        <v>2908</v>
      </c>
      <c r="O28" s="35" t="s">
        <v>816</v>
      </c>
      <c r="P28" s="35" t="s">
        <v>669</v>
      </c>
    </row>
    <row r="29" spans="1:16" ht="13.2" customHeight="1" x14ac:dyDescent="0.25">
      <c r="A29" s="33">
        <v>27</v>
      </c>
      <c r="B29" s="34" t="s">
        <v>2909</v>
      </c>
      <c r="C29" s="35"/>
      <c r="D29" s="34" t="s">
        <v>2910</v>
      </c>
      <c r="E29" s="34" t="s">
        <v>2911</v>
      </c>
      <c r="F29" s="34" t="s">
        <v>2912</v>
      </c>
      <c r="G29" s="34" t="s">
        <v>2913</v>
      </c>
      <c r="H29" s="34" t="s">
        <v>2914</v>
      </c>
      <c r="I29" s="33" t="s">
        <v>84</v>
      </c>
      <c r="J29" s="34" t="s">
        <v>2915</v>
      </c>
      <c r="K29" s="35"/>
      <c r="L29" s="34" t="s">
        <v>2719</v>
      </c>
      <c r="M29" s="35" t="s">
        <v>29</v>
      </c>
      <c r="N29" s="34" t="s">
        <v>2916</v>
      </c>
      <c r="O29" s="35" t="s">
        <v>816</v>
      </c>
      <c r="P29" s="35" t="s">
        <v>669</v>
      </c>
    </row>
    <row r="30" spans="1:16" ht="13.2" customHeight="1" x14ac:dyDescent="0.25">
      <c r="A30" s="33">
        <v>28</v>
      </c>
      <c r="B30" s="34" t="s">
        <v>2917</v>
      </c>
      <c r="C30" s="35"/>
      <c r="D30" s="34" t="s">
        <v>2918</v>
      </c>
      <c r="E30" s="34" t="s">
        <v>2919</v>
      </c>
      <c r="F30" s="34" t="s">
        <v>2920</v>
      </c>
      <c r="G30" s="34" t="s">
        <v>2921</v>
      </c>
      <c r="H30" s="34" t="s">
        <v>2922</v>
      </c>
      <c r="I30" s="33" t="s">
        <v>113</v>
      </c>
      <c r="J30" s="34" t="s">
        <v>2923</v>
      </c>
      <c r="K30" s="35"/>
      <c r="L30" s="34" t="s">
        <v>2719</v>
      </c>
      <c r="M30" s="35" t="s">
        <v>29</v>
      </c>
      <c r="N30" s="34" t="s">
        <v>2924</v>
      </c>
      <c r="O30" s="35" t="s">
        <v>816</v>
      </c>
      <c r="P30" s="35" t="s">
        <v>669</v>
      </c>
    </row>
    <row r="31" spans="1:16" ht="13.2" customHeight="1" x14ac:dyDescent="0.25">
      <c r="A31" s="33">
        <v>29</v>
      </c>
      <c r="B31" s="34" t="s">
        <v>2925</v>
      </c>
      <c r="C31" s="35"/>
      <c r="D31" s="34" t="s">
        <v>2926</v>
      </c>
      <c r="E31" s="34" t="s">
        <v>284</v>
      </c>
      <c r="F31" s="34" t="s">
        <v>2927</v>
      </c>
      <c r="G31" s="34" t="s">
        <v>2928</v>
      </c>
      <c r="H31" s="34" t="s">
        <v>2929</v>
      </c>
      <c r="I31" s="33">
        <v>5</v>
      </c>
      <c r="J31" s="34" t="s">
        <v>2930</v>
      </c>
      <c r="K31" s="35"/>
      <c r="L31" s="34" t="s">
        <v>2931</v>
      </c>
      <c r="M31" s="35" t="s">
        <v>29</v>
      </c>
      <c r="N31" s="34" t="s">
        <v>849</v>
      </c>
      <c r="O31" s="35" t="s">
        <v>816</v>
      </c>
      <c r="P31" s="35" t="s">
        <v>669</v>
      </c>
    </row>
    <row r="32" spans="1:16" ht="13.2" customHeight="1" x14ac:dyDescent="0.25">
      <c r="A32" s="33">
        <v>30</v>
      </c>
      <c r="B32" s="34" t="s">
        <v>2932</v>
      </c>
      <c r="C32" s="35"/>
      <c r="D32" s="34" t="s">
        <v>2933</v>
      </c>
      <c r="E32" s="34" t="s">
        <v>2934</v>
      </c>
      <c r="F32" s="34" t="s">
        <v>2935</v>
      </c>
      <c r="G32" s="34" t="s">
        <v>2936</v>
      </c>
      <c r="H32" s="34" t="s">
        <v>2937</v>
      </c>
      <c r="I32" s="33">
        <v>2</v>
      </c>
      <c r="J32" s="34" t="s">
        <v>2938</v>
      </c>
      <c r="K32" s="35"/>
      <c r="L32" s="34" t="s">
        <v>2931</v>
      </c>
      <c r="M32" s="35" t="s">
        <v>29</v>
      </c>
      <c r="N32" s="34" t="s">
        <v>2939</v>
      </c>
      <c r="O32" s="35" t="s">
        <v>816</v>
      </c>
      <c r="P32" s="35" t="s">
        <v>669</v>
      </c>
    </row>
    <row r="33" spans="1:16" ht="13.2" customHeight="1" x14ac:dyDescent="0.25">
      <c r="A33" s="33">
        <v>31</v>
      </c>
      <c r="B33" s="34" t="s">
        <v>2940</v>
      </c>
      <c r="C33" s="35"/>
      <c r="D33" s="34" t="s">
        <v>2941</v>
      </c>
      <c r="E33" s="34" t="s">
        <v>2942</v>
      </c>
      <c r="F33" s="34" t="s">
        <v>2943</v>
      </c>
      <c r="G33" s="34" t="s">
        <v>2944</v>
      </c>
      <c r="H33" s="34" t="s">
        <v>2945</v>
      </c>
      <c r="I33" s="33" t="s">
        <v>84</v>
      </c>
      <c r="J33" s="34" t="s">
        <v>2946</v>
      </c>
      <c r="K33" s="35"/>
      <c r="L33" s="34" t="s">
        <v>2931</v>
      </c>
      <c r="M33" s="35" t="s">
        <v>29</v>
      </c>
      <c r="N33" s="34" t="s">
        <v>2947</v>
      </c>
      <c r="O33" s="35" t="s">
        <v>816</v>
      </c>
      <c r="P33" s="35" t="s">
        <v>669</v>
      </c>
    </row>
    <row r="34" spans="1:16" ht="13.2" customHeight="1" x14ac:dyDescent="0.25">
      <c r="A34" s="33">
        <v>32</v>
      </c>
      <c r="B34" s="34" t="s">
        <v>2948</v>
      </c>
      <c r="C34" s="35"/>
      <c r="D34" s="34" t="s">
        <v>2949</v>
      </c>
      <c r="E34" s="34" t="s">
        <v>2903</v>
      </c>
      <c r="F34" s="34" t="s">
        <v>349</v>
      </c>
      <c r="G34" s="34" t="s">
        <v>2950</v>
      </c>
      <c r="H34" s="34" t="s">
        <v>2951</v>
      </c>
      <c r="I34" s="33" t="s">
        <v>96</v>
      </c>
      <c r="J34" s="34" t="s">
        <v>2952</v>
      </c>
      <c r="K34" s="35"/>
      <c r="L34" s="34" t="s">
        <v>2931</v>
      </c>
      <c r="M34" s="35" t="s">
        <v>29</v>
      </c>
      <c r="N34" s="34" t="s">
        <v>2953</v>
      </c>
      <c r="O34" s="35" t="s">
        <v>816</v>
      </c>
      <c r="P34" s="35" t="s">
        <v>669</v>
      </c>
    </row>
    <row r="35" spans="1:16" ht="13.2" customHeight="1" x14ac:dyDescent="0.25">
      <c r="A35" s="33">
        <v>33</v>
      </c>
      <c r="B35" s="34" t="s">
        <v>2954</v>
      </c>
      <c r="C35" s="35"/>
      <c r="D35" s="34" t="s">
        <v>2955</v>
      </c>
      <c r="E35" s="34" t="s">
        <v>2956</v>
      </c>
      <c r="F35" s="34" t="s">
        <v>2957</v>
      </c>
      <c r="G35" s="34" t="s">
        <v>2958</v>
      </c>
      <c r="H35" s="34" t="s">
        <v>2959</v>
      </c>
      <c r="I35" s="33">
        <v>4</v>
      </c>
      <c r="J35" s="34" t="s">
        <v>2960</v>
      </c>
      <c r="K35" s="35"/>
      <c r="L35" s="34" t="s">
        <v>2961</v>
      </c>
      <c r="M35" s="35" t="s">
        <v>29</v>
      </c>
      <c r="N35" s="34" t="s">
        <v>2962</v>
      </c>
      <c r="O35" s="35" t="s">
        <v>816</v>
      </c>
      <c r="P35" s="35" t="s">
        <v>669</v>
      </c>
    </row>
    <row r="36" spans="1:16" ht="13.2" customHeight="1" x14ac:dyDescent="0.25">
      <c r="A36" s="33">
        <v>34</v>
      </c>
      <c r="B36" s="34" t="s">
        <v>2963</v>
      </c>
      <c r="C36" s="35"/>
      <c r="D36" s="34" t="s">
        <v>2964</v>
      </c>
      <c r="E36" s="34" t="s">
        <v>2965</v>
      </c>
      <c r="F36" s="34" t="s">
        <v>2966</v>
      </c>
      <c r="G36" s="34" t="s">
        <v>2967</v>
      </c>
      <c r="H36" s="34" t="s">
        <v>2968</v>
      </c>
      <c r="I36" s="33" t="s">
        <v>84</v>
      </c>
      <c r="J36" s="34" t="s">
        <v>2969</v>
      </c>
      <c r="K36" s="35"/>
      <c r="L36" s="34" t="s">
        <v>2970</v>
      </c>
      <c r="M36" s="35" t="s">
        <v>29</v>
      </c>
      <c r="N36" s="34" t="s">
        <v>2971</v>
      </c>
      <c r="O36" s="35" t="s">
        <v>816</v>
      </c>
      <c r="P36" s="35" t="s">
        <v>669</v>
      </c>
    </row>
    <row r="37" spans="1:16" ht="13.2" customHeight="1" x14ac:dyDescent="0.25">
      <c r="A37" s="33">
        <v>35</v>
      </c>
      <c r="B37" s="34" t="s">
        <v>2972</v>
      </c>
      <c r="C37" s="35"/>
      <c r="D37" s="34" t="s">
        <v>2973</v>
      </c>
      <c r="E37" s="34" t="s">
        <v>2974</v>
      </c>
      <c r="F37" s="34" t="s">
        <v>2975</v>
      </c>
      <c r="G37" s="34" t="s">
        <v>2976</v>
      </c>
      <c r="H37" s="34" t="s">
        <v>2977</v>
      </c>
      <c r="I37" s="33">
        <v>1</v>
      </c>
      <c r="J37" s="34" t="s">
        <v>2978</v>
      </c>
      <c r="K37" s="35"/>
      <c r="L37" s="34" t="s">
        <v>2970</v>
      </c>
      <c r="M37" s="35" t="s">
        <v>29</v>
      </c>
      <c r="N37" s="34" t="s">
        <v>2979</v>
      </c>
      <c r="O37" s="35" t="s">
        <v>816</v>
      </c>
      <c r="P37" s="35" t="s">
        <v>669</v>
      </c>
    </row>
    <row r="38" spans="1:16" ht="13.2" customHeight="1" x14ac:dyDescent="0.25">
      <c r="A38" s="33">
        <v>36</v>
      </c>
      <c r="B38" s="34" t="s">
        <v>2980</v>
      </c>
      <c r="C38" s="35"/>
      <c r="D38" s="34" t="s">
        <v>2981</v>
      </c>
      <c r="E38" s="34" t="s">
        <v>2982</v>
      </c>
      <c r="F38" s="34" t="s">
        <v>2983</v>
      </c>
      <c r="G38" s="34" t="s">
        <v>2984</v>
      </c>
      <c r="H38" s="34" t="s">
        <v>2985</v>
      </c>
      <c r="I38" s="33" t="s">
        <v>96</v>
      </c>
      <c r="J38" s="34" t="s">
        <v>2986</v>
      </c>
      <c r="K38" s="35"/>
      <c r="L38" s="34" t="s">
        <v>2987</v>
      </c>
      <c r="M38" s="35" t="s">
        <v>29</v>
      </c>
      <c r="N38" s="34" t="s">
        <v>2988</v>
      </c>
      <c r="O38" s="35" t="s">
        <v>816</v>
      </c>
      <c r="P38" s="35" t="s">
        <v>669</v>
      </c>
    </row>
    <row r="39" spans="1:16" ht="13.2" customHeight="1" x14ac:dyDescent="0.25">
      <c r="A39" s="33">
        <v>37</v>
      </c>
      <c r="B39" s="34" t="s">
        <v>2989</v>
      </c>
      <c r="C39" s="35"/>
      <c r="D39" s="34" t="s">
        <v>2990</v>
      </c>
      <c r="E39" s="34" t="s">
        <v>2991</v>
      </c>
      <c r="F39" s="34" t="s">
        <v>2992</v>
      </c>
      <c r="G39" s="34" t="s">
        <v>2993</v>
      </c>
      <c r="H39" s="34" t="s">
        <v>2994</v>
      </c>
      <c r="I39" s="33" t="s">
        <v>90</v>
      </c>
      <c r="J39" s="34" t="s">
        <v>2995</v>
      </c>
      <c r="K39" s="35"/>
      <c r="L39" s="34" t="s">
        <v>2970</v>
      </c>
      <c r="M39" s="35" t="s">
        <v>29</v>
      </c>
      <c r="N39" s="34" t="s">
        <v>2996</v>
      </c>
      <c r="O39" s="35" t="s">
        <v>816</v>
      </c>
      <c r="P39" s="35" t="s">
        <v>669</v>
      </c>
    </row>
    <row r="40" spans="1:16" ht="13.2" customHeight="1" x14ac:dyDescent="0.25">
      <c r="A40" s="33">
        <v>38</v>
      </c>
      <c r="B40" s="34" t="s">
        <v>2997</v>
      </c>
      <c r="C40" s="35"/>
      <c r="D40" s="34" t="s">
        <v>2998</v>
      </c>
      <c r="E40" s="34" t="s">
        <v>2999</v>
      </c>
      <c r="F40" s="34" t="s">
        <v>3000</v>
      </c>
      <c r="G40" s="34" t="s">
        <v>3001</v>
      </c>
      <c r="H40" s="34" t="s">
        <v>3002</v>
      </c>
      <c r="I40" s="33">
        <v>4</v>
      </c>
      <c r="J40" s="34" t="s">
        <v>3003</v>
      </c>
      <c r="K40" s="35"/>
      <c r="L40" s="34" t="s">
        <v>2970</v>
      </c>
      <c r="M40" s="35" t="s">
        <v>29</v>
      </c>
      <c r="N40" s="34" t="s">
        <v>3004</v>
      </c>
      <c r="O40" s="35" t="s">
        <v>816</v>
      </c>
      <c r="P40" s="35" t="s">
        <v>669</v>
      </c>
    </row>
    <row r="41" spans="1:16" ht="13.2" customHeight="1" x14ac:dyDescent="0.25">
      <c r="A41" s="33">
        <v>39</v>
      </c>
      <c r="B41" s="34" t="s">
        <v>3005</v>
      </c>
      <c r="C41" s="35"/>
      <c r="D41" s="34" t="s">
        <v>3006</v>
      </c>
      <c r="E41" s="34" t="s">
        <v>3007</v>
      </c>
      <c r="F41" s="34" t="s">
        <v>3008</v>
      </c>
      <c r="G41" s="34" t="s">
        <v>3009</v>
      </c>
      <c r="H41" s="34" t="s">
        <v>3010</v>
      </c>
      <c r="I41" s="33" t="s">
        <v>84</v>
      </c>
      <c r="J41" s="34" t="s">
        <v>3011</v>
      </c>
      <c r="K41" s="35"/>
      <c r="L41" s="34" t="s">
        <v>2970</v>
      </c>
      <c r="M41" s="35" t="s">
        <v>29</v>
      </c>
      <c r="N41" s="34" t="s">
        <v>3012</v>
      </c>
      <c r="O41" s="35" t="s">
        <v>816</v>
      </c>
      <c r="P41" s="35" t="s">
        <v>669</v>
      </c>
    </row>
    <row r="42" spans="1:16" ht="13.2" customHeight="1" x14ac:dyDescent="0.25">
      <c r="A42" s="33">
        <v>40</v>
      </c>
      <c r="B42" s="34" t="s">
        <v>3013</v>
      </c>
      <c r="C42" s="35"/>
      <c r="D42" s="34" t="s">
        <v>3014</v>
      </c>
      <c r="E42" s="34" t="s">
        <v>3015</v>
      </c>
      <c r="F42" s="34" t="s">
        <v>3016</v>
      </c>
      <c r="G42" s="34" t="s">
        <v>3017</v>
      </c>
      <c r="H42" s="34" t="s">
        <v>3018</v>
      </c>
      <c r="I42" s="33" t="s">
        <v>90</v>
      </c>
      <c r="J42" s="34" t="s">
        <v>3019</v>
      </c>
      <c r="K42" s="35"/>
      <c r="L42" s="34" t="s">
        <v>2970</v>
      </c>
      <c r="M42" s="35" t="s">
        <v>29</v>
      </c>
      <c r="N42" s="34" t="s">
        <v>928</v>
      </c>
      <c r="O42" s="35" t="s">
        <v>816</v>
      </c>
      <c r="P42" s="35" t="s">
        <v>669</v>
      </c>
    </row>
    <row r="43" spans="1:16" ht="13.2" customHeight="1" x14ac:dyDescent="0.25">
      <c r="A43" s="33">
        <v>41</v>
      </c>
      <c r="B43" s="34" t="s">
        <v>3020</v>
      </c>
      <c r="C43" s="35"/>
      <c r="D43" s="34" t="s">
        <v>3021</v>
      </c>
      <c r="E43" s="34" t="s">
        <v>2982</v>
      </c>
      <c r="F43" s="34" t="s">
        <v>1458</v>
      </c>
      <c r="G43" s="34" t="s">
        <v>3022</v>
      </c>
      <c r="H43" s="34" t="s">
        <v>3023</v>
      </c>
      <c r="I43" s="33">
        <v>3</v>
      </c>
      <c r="J43" s="34" t="s">
        <v>3024</v>
      </c>
      <c r="K43" s="35"/>
      <c r="L43" s="34" t="s">
        <v>2970</v>
      </c>
      <c r="M43" s="35" t="s">
        <v>29</v>
      </c>
      <c r="N43" s="34" t="s">
        <v>3025</v>
      </c>
      <c r="O43" s="35" t="s">
        <v>816</v>
      </c>
      <c r="P43" s="35" t="s">
        <v>669</v>
      </c>
    </row>
    <row r="44" spans="1:16" ht="13.2" customHeight="1" x14ac:dyDescent="0.25">
      <c r="A44" s="33">
        <v>42</v>
      </c>
      <c r="B44" s="34" t="s">
        <v>3026</v>
      </c>
      <c r="C44" s="35"/>
      <c r="D44" s="34" t="s">
        <v>3027</v>
      </c>
      <c r="E44" s="34" t="s">
        <v>3028</v>
      </c>
      <c r="F44" s="34" t="s">
        <v>3029</v>
      </c>
      <c r="G44" s="34" t="s">
        <v>3030</v>
      </c>
      <c r="H44" s="34" t="s">
        <v>3031</v>
      </c>
      <c r="I44" s="33" t="s">
        <v>123</v>
      </c>
      <c r="J44" s="34" t="s">
        <v>3032</v>
      </c>
      <c r="K44" s="35"/>
      <c r="L44" s="34" t="s">
        <v>2970</v>
      </c>
      <c r="M44" s="35" t="s">
        <v>29</v>
      </c>
      <c r="N44" s="34" t="s">
        <v>3033</v>
      </c>
      <c r="O44" s="35" t="s">
        <v>816</v>
      </c>
      <c r="P44" s="35" t="s">
        <v>669</v>
      </c>
    </row>
    <row r="45" spans="1:16" ht="13.2" customHeight="1" x14ac:dyDescent="0.25">
      <c r="A45" s="33">
        <v>43</v>
      </c>
      <c r="B45" s="34" t="s">
        <v>3034</v>
      </c>
      <c r="C45" s="35"/>
      <c r="D45" s="34" t="s">
        <v>3035</v>
      </c>
      <c r="E45" s="34" t="s">
        <v>3036</v>
      </c>
      <c r="F45" s="34" t="s">
        <v>3037</v>
      </c>
      <c r="G45" s="34" t="s">
        <v>3038</v>
      </c>
      <c r="H45" s="34" t="s">
        <v>3039</v>
      </c>
      <c r="I45" s="33" t="s">
        <v>96</v>
      </c>
      <c r="J45" s="34" t="s">
        <v>3040</v>
      </c>
      <c r="K45" s="35"/>
      <c r="L45" s="34" t="s">
        <v>2970</v>
      </c>
      <c r="M45" s="35" t="s">
        <v>29</v>
      </c>
      <c r="N45" s="34" t="s">
        <v>953</v>
      </c>
      <c r="O45" s="35" t="s">
        <v>816</v>
      </c>
      <c r="P45" s="35" t="s">
        <v>669</v>
      </c>
    </row>
    <row r="46" spans="1:16" ht="13.2" customHeight="1" x14ac:dyDescent="0.25">
      <c r="A46" s="33">
        <v>44</v>
      </c>
      <c r="B46" s="34" t="s">
        <v>3041</v>
      </c>
      <c r="C46" s="35"/>
      <c r="D46" s="34" t="s">
        <v>3042</v>
      </c>
      <c r="E46" s="34" t="s">
        <v>3043</v>
      </c>
      <c r="F46" s="34" t="s">
        <v>3044</v>
      </c>
      <c r="G46" s="34" t="s">
        <v>3045</v>
      </c>
      <c r="H46" s="34" t="s">
        <v>3046</v>
      </c>
      <c r="I46" s="33" t="s">
        <v>90</v>
      </c>
      <c r="J46" s="34" t="s">
        <v>3047</v>
      </c>
      <c r="K46" s="35"/>
      <c r="L46" s="34" t="s">
        <v>2970</v>
      </c>
      <c r="M46" s="35" t="s">
        <v>29</v>
      </c>
      <c r="N46" s="34" t="s">
        <v>3048</v>
      </c>
      <c r="O46" s="35" t="s">
        <v>816</v>
      </c>
      <c r="P46" s="35" t="s">
        <v>669</v>
      </c>
    </row>
    <row r="47" spans="1:16" ht="13.2" customHeight="1" x14ac:dyDescent="0.25">
      <c r="A47" s="33">
        <v>45</v>
      </c>
      <c r="B47" s="34" t="s">
        <v>3049</v>
      </c>
      <c r="C47" s="35"/>
      <c r="D47" s="34" t="s">
        <v>3050</v>
      </c>
      <c r="E47" s="34" t="s">
        <v>518</v>
      </c>
      <c r="F47" s="34" t="s">
        <v>3051</v>
      </c>
      <c r="G47" s="34" t="s">
        <v>3052</v>
      </c>
      <c r="H47" s="34" t="s">
        <v>2976</v>
      </c>
      <c r="I47" s="33" t="s">
        <v>90</v>
      </c>
      <c r="J47" s="34" t="s">
        <v>3053</v>
      </c>
      <c r="K47" s="35"/>
      <c r="L47" s="34" t="s">
        <v>2970</v>
      </c>
      <c r="M47" s="35" t="s">
        <v>29</v>
      </c>
      <c r="N47" s="34" t="s">
        <v>3054</v>
      </c>
      <c r="O47" s="35" t="s">
        <v>816</v>
      </c>
      <c r="P47" s="35" t="s">
        <v>669</v>
      </c>
    </row>
    <row r="48" spans="1:16" ht="13.2" customHeight="1" x14ac:dyDescent="0.25">
      <c r="A48" s="33">
        <v>46</v>
      </c>
      <c r="B48" s="34" t="s">
        <v>3055</v>
      </c>
      <c r="C48" s="35"/>
      <c r="D48" s="34" t="s">
        <v>3056</v>
      </c>
      <c r="E48" s="34" t="s">
        <v>3057</v>
      </c>
      <c r="F48" s="34" t="s">
        <v>3058</v>
      </c>
      <c r="G48" s="34" t="s">
        <v>3059</v>
      </c>
      <c r="H48" s="34" t="s">
        <v>3060</v>
      </c>
      <c r="I48" s="33" t="s">
        <v>90</v>
      </c>
      <c r="J48" s="34" t="s">
        <v>3061</v>
      </c>
      <c r="K48" s="35"/>
      <c r="L48" s="34" t="s">
        <v>2970</v>
      </c>
      <c r="M48" s="35" t="s">
        <v>29</v>
      </c>
      <c r="N48" s="34" t="s">
        <v>3062</v>
      </c>
      <c r="O48" s="35" t="s">
        <v>816</v>
      </c>
      <c r="P48" s="35" t="s">
        <v>669</v>
      </c>
    </row>
    <row r="49" spans="1:16" ht="13.2" customHeight="1" x14ac:dyDescent="0.25">
      <c r="A49" s="33">
        <v>47</v>
      </c>
      <c r="B49" s="34" t="s">
        <v>3063</v>
      </c>
      <c r="C49" s="35"/>
      <c r="D49" s="34" t="s">
        <v>3064</v>
      </c>
      <c r="E49" s="34" t="s">
        <v>3065</v>
      </c>
      <c r="F49" s="34" t="s">
        <v>3066</v>
      </c>
      <c r="G49" s="34" t="s">
        <v>3067</v>
      </c>
      <c r="H49" s="34" t="s">
        <v>3068</v>
      </c>
      <c r="I49" s="33">
        <v>2</v>
      </c>
      <c r="J49" s="34" t="s">
        <v>3069</v>
      </c>
      <c r="K49" s="35"/>
      <c r="L49" s="34" t="s">
        <v>2987</v>
      </c>
      <c r="M49" s="35" t="s">
        <v>29</v>
      </c>
      <c r="N49" s="34" t="s">
        <v>3070</v>
      </c>
      <c r="O49" s="35" t="s">
        <v>816</v>
      </c>
      <c r="P49" s="35" t="s">
        <v>669</v>
      </c>
    </row>
    <row r="50" spans="1:16" ht="13.2" customHeight="1" x14ac:dyDescent="0.25">
      <c r="A50" s="33">
        <v>48</v>
      </c>
      <c r="B50" s="34" t="s">
        <v>3071</v>
      </c>
      <c r="C50" s="35"/>
      <c r="D50" s="34" t="s">
        <v>3072</v>
      </c>
      <c r="E50" s="34" t="s">
        <v>3073</v>
      </c>
      <c r="F50" s="34" t="s">
        <v>3074</v>
      </c>
      <c r="G50" s="34" t="s">
        <v>3075</v>
      </c>
      <c r="H50" s="34" t="s">
        <v>3076</v>
      </c>
      <c r="I50" s="33" t="s">
        <v>123</v>
      </c>
      <c r="J50" s="34" t="s">
        <v>3077</v>
      </c>
      <c r="K50" s="35"/>
      <c r="L50" s="34" t="s">
        <v>2970</v>
      </c>
      <c r="M50" s="35" t="s">
        <v>29</v>
      </c>
      <c r="N50" s="34" t="s">
        <v>3078</v>
      </c>
      <c r="O50" s="35" t="s">
        <v>816</v>
      </c>
      <c r="P50" s="35" t="s">
        <v>669</v>
      </c>
    </row>
    <row r="51" spans="1:16" ht="13.2" customHeight="1" x14ac:dyDescent="0.25">
      <c r="A51" s="33">
        <v>49</v>
      </c>
      <c r="B51" s="34" t="s">
        <v>3079</v>
      </c>
      <c r="C51" s="35"/>
      <c r="D51" s="34" t="s">
        <v>3080</v>
      </c>
      <c r="E51" s="34" t="s">
        <v>3081</v>
      </c>
      <c r="F51" s="34" t="s">
        <v>3082</v>
      </c>
      <c r="G51" s="34" t="s">
        <v>3083</v>
      </c>
      <c r="H51" s="34" t="s">
        <v>3084</v>
      </c>
      <c r="I51" s="33" t="s">
        <v>123</v>
      </c>
      <c r="J51" s="34" t="s">
        <v>3085</v>
      </c>
      <c r="K51" s="35"/>
      <c r="L51" s="34" t="s">
        <v>2970</v>
      </c>
      <c r="M51" s="35" t="s">
        <v>29</v>
      </c>
      <c r="N51" s="34" t="s">
        <v>3086</v>
      </c>
      <c r="O51" s="35" t="s">
        <v>816</v>
      </c>
      <c r="P51" s="35" t="s">
        <v>669</v>
      </c>
    </row>
    <row r="52" spans="1:16" ht="13.2" customHeight="1" x14ac:dyDescent="0.25">
      <c r="A52" s="33">
        <v>50</v>
      </c>
      <c r="B52" s="34" t="s">
        <v>3087</v>
      </c>
      <c r="C52" s="35"/>
      <c r="D52" s="34" t="s">
        <v>2976</v>
      </c>
      <c r="E52" s="34" t="s">
        <v>3050</v>
      </c>
      <c r="F52" s="34" t="s">
        <v>3051</v>
      </c>
      <c r="G52" s="34" t="s">
        <v>518</v>
      </c>
      <c r="H52" s="34" t="s">
        <v>2974</v>
      </c>
      <c r="I52" s="33" t="s">
        <v>113</v>
      </c>
      <c r="J52" s="34" t="s">
        <v>3088</v>
      </c>
      <c r="K52" s="35"/>
      <c r="L52" s="34" t="s">
        <v>2987</v>
      </c>
      <c r="M52" s="35" t="s">
        <v>29</v>
      </c>
      <c r="N52" s="34" t="s">
        <v>3089</v>
      </c>
      <c r="O52" s="35" t="s">
        <v>816</v>
      </c>
      <c r="P52" s="35" t="s">
        <v>669</v>
      </c>
    </row>
    <row r="53" spans="1:16" ht="13.2" customHeight="1" x14ac:dyDescent="0.25">
      <c r="A53" s="33">
        <v>51</v>
      </c>
      <c r="B53" s="34" t="s">
        <v>3090</v>
      </c>
      <c r="C53" s="35"/>
      <c r="D53" s="34" t="s">
        <v>3091</v>
      </c>
      <c r="E53" s="34" t="s">
        <v>3092</v>
      </c>
      <c r="F53" s="34" t="s">
        <v>3093</v>
      </c>
      <c r="G53" s="34" t="s">
        <v>3094</v>
      </c>
      <c r="H53" s="34" t="s">
        <v>781</v>
      </c>
      <c r="I53" s="33" t="s">
        <v>90</v>
      </c>
      <c r="J53" s="34" t="s">
        <v>3095</v>
      </c>
      <c r="K53" s="35"/>
      <c r="L53" s="34" t="s">
        <v>2987</v>
      </c>
      <c r="M53" s="35" t="s">
        <v>29</v>
      </c>
      <c r="N53" s="34" t="s">
        <v>3096</v>
      </c>
      <c r="O53" s="35" t="s">
        <v>816</v>
      </c>
      <c r="P53" s="35" t="s">
        <v>669</v>
      </c>
    </row>
    <row r="54" spans="1:16" ht="13.2" customHeight="1" x14ac:dyDescent="0.25">
      <c r="A54" s="33">
        <v>52</v>
      </c>
      <c r="B54" s="34" t="s">
        <v>3097</v>
      </c>
      <c r="C54" s="35"/>
      <c r="D54" s="34" t="s">
        <v>3098</v>
      </c>
      <c r="E54" s="34" t="s">
        <v>3099</v>
      </c>
      <c r="F54" s="34" t="s">
        <v>3100</v>
      </c>
      <c r="G54" s="34" t="s">
        <v>3101</v>
      </c>
      <c r="H54" s="34" t="s">
        <v>3102</v>
      </c>
      <c r="I54" s="33" t="s">
        <v>96</v>
      </c>
      <c r="J54" s="34" t="s">
        <v>3103</v>
      </c>
      <c r="K54" s="35"/>
      <c r="L54" s="34" t="s">
        <v>2987</v>
      </c>
      <c r="M54" s="35" t="s">
        <v>29</v>
      </c>
      <c r="N54" s="34" t="s">
        <v>3104</v>
      </c>
      <c r="O54" s="35" t="s">
        <v>816</v>
      </c>
      <c r="P54" s="35" t="s">
        <v>669</v>
      </c>
    </row>
    <row r="55" spans="1:16" ht="13.2" customHeight="1" x14ac:dyDescent="0.25">
      <c r="A55" s="33">
        <v>53</v>
      </c>
      <c r="B55" s="34" t="s">
        <v>3105</v>
      </c>
      <c r="C55" s="35"/>
      <c r="D55" s="34" t="s">
        <v>2903</v>
      </c>
      <c r="E55" s="34" t="s">
        <v>3106</v>
      </c>
      <c r="F55" s="34" t="s">
        <v>349</v>
      </c>
      <c r="G55" s="34" t="s">
        <v>3107</v>
      </c>
      <c r="H55" s="34" t="s">
        <v>3108</v>
      </c>
      <c r="I55" s="33" t="s">
        <v>90</v>
      </c>
      <c r="J55" s="34" t="s">
        <v>3109</v>
      </c>
      <c r="K55" s="35"/>
      <c r="L55" s="34" t="s">
        <v>2987</v>
      </c>
      <c r="M55" s="35" t="s">
        <v>29</v>
      </c>
      <c r="N55" s="34" t="s">
        <v>1002</v>
      </c>
      <c r="O55" s="35" t="s">
        <v>816</v>
      </c>
      <c r="P55" s="35" t="s">
        <v>669</v>
      </c>
    </row>
    <row r="56" spans="1:16" ht="13.2" customHeight="1" x14ac:dyDescent="0.25">
      <c r="A56" s="33">
        <v>54</v>
      </c>
      <c r="B56" s="34" t="s">
        <v>3110</v>
      </c>
      <c r="C56" s="35"/>
      <c r="D56" s="34" t="s">
        <v>276</v>
      </c>
      <c r="E56" s="34" t="s">
        <v>559</v>
      </c>
      <c r="F56" s="34" t="s">
        <v>3111</v>
      </c>
      <c r="G56" s="34" t="s">
        <v>459</v>
      </c>
      <c r="H56" s="34" t="s">
        <v>3112</v>
      </c>
      <c r="I56" s="33" t="s">
        <v>90</v>
      </c>
      <c r="J56" s="34" t="s">
        <v>3113</v>
      </c>
      <c r="K56" s="35"/>
      <c r="L56" s="34" t="s">
        <v>2970</v>
      </c>
      <c r="M56" s="35" t="s">
        <v>29</v>
      </c>
      <c r="N56" s="34" t="s">
        <v>3114</v>
      </c>
      <c r="O56" s="35" t="s">
        <v>816</v>
      </c>
      <c r="P56" s="35" t="s">
        <v>669</v>
      </c>
    </row>
    <row r="57" spans="1:16" ht="13.2" customHeight="1" x14ac:dyDescent="0.25">
      <c r="A57" s="33">
        <v>55</v>
      </c>
      <c r="B57" s="34" t="s">
        <v>3115</v>
      </c>
      <c r="C57" s="35"/>
      <c r="D57" s="34" t="s">
        <v>3116</v>
      </c>
      <c r="E57" s="34" t="s">
        <v>3117</v>
      </c>
      <c r="F57" s="34" t="s">
        <v>3118</v>
      </c>
      <c r="G57" s="34" t="s">
        <v>3119</v>
      </c>
      <c r="H57" s="34" t="s">
        <v>3120</v>
      </c>
      <c r="I57" s="33">
        <v>5</v>
      </c>
      <c r="J57" s="34" t="s">
        <v>3121</v>
      </c>
      <c r="K57" s="35"/>
      <c r="L57" s="34" t="s">
        <v>2719</v>
      </c>
      <c r="M57" s="35" t="s">
        <v>29</v>
      </c>
      <c r="N57" s="34" t="s">
        <v>3122</v>
      </c>
      <c r="O57" s="35" t="s">
        <v>816</v>
      </c>
      <c r="P57" s="35" t="s">
        <v>669</v>
      </c>
    </row>
    <row r="58" spans="1:16" ht="13.2" customHeight="1" x14ac:dyDescent="0.25">
      <c r="A58" s="33">
        <v>56</v>
      </c>
      <c r="B58" s="34" t="s">
        <v>3123</v>
      </c>
      <c r="C58" s="35"/>
      <c r="D58" s="34" t="s">
        <v>2319</v>
      </c>
      <c r="E58" s="34" t="s">
        <v>2320</v>
      </c>
      <c r="F58" s="34" t="s">
        <v>3124</v>
      </c>
      <c r="G58" s="34" t="s">
        <v>3125</v>
      </c>
      <c r="H58" s="34" t="s">
        <v>3126</v>
      </c>
      <c r="I58" s="33">
        <v>5</v>
      </c>
      <c r="J58" s="34" t="s">
        <v>3127</v>
      </c>
      <c r="K58" s="35"/>
      <c r="L58" s="34" t="s">
        <v>2719</v>
      </c>
      <c r="M58" s="35" t="s">
        <v>29</v>
      </c>
      <c r="N58" s="34" t="s">
        <v>3128</v>
      </c>
      <c r="O58" s="35" t="s">
        <v>816</v>
      </c>
      <c r="P58" s="35" t="s">
        <v>669</v>
      </c>
    </row>
    <row r="59" spans="1:16" ht="13.2" customHeight="1" x14ac:dyDescent="0.25">
      <c r="A59" s="33">
        <v>57</v>
      </c>
      <c r="B59" s="34" t="s">
        <v>3129</v>
      </c>
      <c r="C59" s="35"/>
      <c r="D59" s="34" t="s">
        <v>3130</v>
      </c>
      <c r="E59" s="34" t="s">
        <v>3131</v>
      </c>
      <c r="F59" s="34" t="s">
        <v>3132</v>
      </c>
      <c r="G59" s="34" t="s">
        <v>3133</v>
      </c>
      <c r="H59" s="34" t="s">
        <v>3134</v>
      </c>
      <c r="I59" s="33" t="s">
        <v>113</v>
      </c>
      <c r="J59" s="34" t="s">
        <v>3135</v>
      </c>
      <c r="K59" s="35"/>
      <c r="L59" s="34" t="s">
        <v>2719</v>
      </c>
      <c r="M59" s="35" t="s">
        <v>29</v>
      </c>
      <c r="N59" s="34" t="s">
        <v>3136</v>
      </c>
      <c r="O59" s="35" t="s">
        <v>816</v>
      </c>
      <c r="P59" s="35" t="s">
        <v>669</v>
      </c>
    </row>
    <row r="60" spans="1:16" ht="13.2" customHeight="1" x14ac:dyDescent="0.25">
      <c r="A60" s="33">
        <v>58</v>
      </c>
      <c r="B60" s="34" t="s">
        <v>3137</v>
      </c>
      <c r="C60" s="35"/>
      <c r="D60" s="34" t="s">
        <v>3130</v>
      </c>
      <c r="E60" s="34" t="s">
        <v>3131</v>
      </c>
      <c r="F60" s="34" t="s">
        <v>3132</v>
      </c>
      <c r="G60" s="34" t="s">
        <v>3138</v>
      </c>
      <c r="H60" s="34" t="s">
        <v>3134</v>
      </c>
      <c r="I60" s="33" t="s">
        <v>123</v>
      </c>
      <c r="J60" s="34" t="s">
        <v>3139</v>
      </c>
      <c r="K60" s="35"/>
      <c r="L60" s="34" t="s">
        <v>2719</v>
      </c>
      <c r="M60" s="35" t="s">
        <v>29</v>
      </c>
      <c r="N60" s="34" t="s">
        <v>3140</v>
      </c>
      <c r="O60" s="35" t="s">
        <v>816</v>
      </c>
      <c r="P60" s="35" t="s">
        <v>669</v>
      </c>
    </row>
    <row r="61" spans="1:16" ht="13.2" customHeight="1" x14ac:dyDescent="0.25">
      <c r="A61" s="33">
        <v>59</v>
      </c>
      <c r="B61" s="34" t="s">
        <v>3141</v>
      </c>
      <c r="C61" s="35"/>
      <c r="D61" s="34" t="s">
        <v>3142</v>
      </c>
      <c r="E61" s="34" t="s">
        <v>2825</v>
      </c>
      <c r="F61" s="34" t="s">
        <v>3143</v>
      </c>
      <c r="G61" s="34" t="s">
        <v>3144</v>
      </c>
      <c r="H61" s="34" t="s">
        <v>3145</v>
      </c>
      <c r="I61" s="33">
        <v>1</v>
      </c>
      <c r="J61" s="34" t="s">
        <v>3146</v>
      </c>
      <c r="K61" s="35"/>
      <c r="L61" s="34" t="s">
        <v>2719</v>
      </c>
      <c r="M61" s="35" t="s">
        <v>29</v>
      </c>
      <c r="N61" s="34" t="s">
        <v>3147</v>
      </c>
      <c r="O61" s="35" t="s">
        <v>816</v>
      </c>
      <c r="P61" s="35" t="s">
        <v>669</v>
      </c>
    </row>
    <row r="62" spans="1:16" ht="13.2" customHeight="1" x14ac:dyDescent="0.25">
      <c r="A62" s="33">
        <v>60</v>
      </c>
      <c r="B62" s="34" t="s">
        <v>3148</v>
      </c>
      <c r="C62" s="35"/>
      <c r="D62" s="34" t="s">
        <v>3149</v>
      </c>
      <c r="E62" s="34" t="s">
        <v>3150</v>
      </c>
      <c r="F62" s="34" t="s">
        <v>3151</v>
      </c>
      <c r="G62" s="34" t="s">
        <v>3152</v>
      </c>
      <c r="H62" s="34" t="s">
        <v>3153</v>
      </c>
      <c r="I62" s="33" t="s">
        <v>96</v>
      </c>
      <c r="J62" s="34" t="s">
        <v>3154</v>
      </c>
      <c r="K62" s="35"/>
      <c r="L62" s="34" t="s">
        <v>2987</v>
      </c>
      <c r="M62" s="35" t="s">
        <v>29</v>
      </c>
      <c r="N62" s="34" t="s">
        <v>3155</v>
      </c>
      <c r="O62" s="35" t="s">
        <v>816</v>
      </c>
      <c r="P62" s="35" t="s">
        <v>669</v>
      </c>
    </row>
    <row r="63" spans="1:16" ht="13.2" customHeight="1" x14ac:dyDescent="0.25">
      <c r="A63" s="33">
        <v>61</v>
      </c>
      <c r="B63" s="34" t="s">
        <v>3156</v>
      </c>
      <c r="C63" s="35"/>
      <c r="D63" s="34" t="s">
        <v>3157</v>
      </c>
      <c r="E63" s="34" t="s">
        <v>3158</v>
      </c>
      <c r="F63" s="34" t="s">
        <v>2927</v>
      </c>
      <c r="G63" s="34" t="s">
        <v>3159</v>
      </c>
      <c r="H63" s="34" t="s">
        <v>3160</v>
      </c>
      <c r="I63" s="33" t="s">
        <v>123</v>
      </c>
      <c r="J63" s="34" t="s">
        <v>3161</v>
      </c>
      <c r="K63" s="35"/>
      <c r="L63" s="34" t="s">
        <v>2987</v>
      </c>
      <c r="M63" s="35" t="s">
        <v>29</v>
      </c>
      <c r="N63" s="34" t="s">
        <v>3162</v>
      </c>
      <c r="O63" s="35" t="s">
        <v>816</v>
      </c>
      <c r="P63" s="35" t="s">
        <v>669</v>
      </c>
    </row>
    <row r="64" spans="1:16" ht="13.2" customHeight="1" x14ac:dyDescent="0.25">
      <c r="A64" s="33">
        <v>62</v>
      </c>
      <c r="B64" s="34" t="s">
        <v>3163</v>
      </c>
      <c r="C64" s="35"/>
      <c r="D64" s="34" t="s">
        <v>3164</v>
      </c>
      <c r="E64" s="34" t="s">
        <v>3165</v>
      </c>
      <c r="F64" s="34" t="s">
        <v>3166</v>
      </c>
      <c r="G64" s="34" t="s">
        <v>3167</v>
      </c>
      <c r="H64" s="34" t="s">
        <v>3168</v>
      </c>
      <c r="I64" s="33">
        <v>4</v>
      </c>
      <c r="J64" s="34" t="s">
        <v>3169</v>
      </c>
      <c r="K64" s="35"/>
      <c r="L64" s="34" t="s">
        <v>3170</v>
      </c>
      <c r="M64" s="35" t="s">
        <v>29</v>
      </c>
      <c r="N64" s="34" t="s">
        <v>3171</v>
      </c>
      <c r="O64" s="35" t="s">
        <v>816</v>
      </c>
      <c r="P64" s="35" t="s">
        <v>669</v>
      </c>
    </row>
    <row r="65" spans="1:17" ht="13.2" customHeight="1" x14ac:dyDescent="0.25">
      <c r="A65" s="33">
        <v>63</v>
      </c>
      <c r="B65" s="34" t="s">
        <v>3172</v>
      </c>
      <c r="C65" s="35"/>
      <c r="D65" s="34" t="s">
        <v>3173</v>
      </c>
      <c r="E65" s="34" t="s">
        <v>3174</v>
      </c>
      <c r="F65" s="34" t="s">
        <v>3175</v>
      </c>
      <c r="G65" s="34" t="s">
        <v>3176</v>
      </c>
      <c r="H65" s="34" t="s">
        <v>3177</v>
      </c>
      <c r="I65" s="33" t="s">
        <v>113</v>
      </c>
      <c r="J65" s="34" t="s">
        <v>3178</v>
      </c>
      <c r="K65" s="35"/>
      <c r="L65" s="34" t="s">
        <v>3170</v>
      </c>
      <c r="M65" s="35" t="s">
        <v>29</v>
      </c>
      <c r="N65" s="34" t="s">
        <v>3179</v>
      </c>
      <c r="O65" s="35" t="s">
        <v>816</v>
      </c>
      <c r="P65" s="35" t="s">
        <v>669</v>
      </c>
    </row>
    <row r="66" spans="1:17" ht="13.2" customHeight="1" x14ac:dyDescent="0.25">
      <c r="A66" s="33">
        <v>64</v>
      </c>
      <c r="B66" s="34" t="s">
        <v>3180</v>
      </c>
      <c r="C66" s="35"/>
      <c r="D66" s="34" t="s">
        <v>3181</v>
      </c>
      <c r="E66" s="34" t="s">
        <v>3182</v>
      </c>
      <c r="F66" s="34" t="s">
        <v>3183</v>
      </c>
      <c r="G66" s="34" t="s">
        <v>3184</v>
      </c>
      <c r="H66" s="34" t="s">
        <v>3185</v>
      </c>
      <c r="I66" s="33" t="s">
        <v>84</v>
      </c>
      <c r="J66" s="34" t="s">
        <v>3186</v>
      </c>
      <c r="K66" s="35"/>
      <c r="L66" s="34" t="s">
        <v>2970</v>
      </c>
      <c r="M66" s="35" t="s">
        <v>29</v>
      </c>
      <c r="N66" s="34" t="s">
        <v>3187</v>
      </c>
      <c r="O66" s="35" t="s">
        <v>816</v>
      </c>
      <c r="P66" s="35" t="s">
        <v>1849</v>
      </c>
      <c r="Q66" s="2"/>
    </row>
    <row r="67" spans="1:17" ht="13.2" customHeight="1" x14ac:dyDescent="0.25">
      <c r="A67" s="33">
        <v>65</v>
      </c>
      <c r="B67" s="34" t="s">
        <v>3188</v>
      </c>
      <c r="C67" s="35"/>
      <c r="D67" s="34" t="s">
        <v>3189</v>
      </c>
      <c r="E67" s="34" t="s">
        <v>3190</v>
      </c>
      <c r="F67" s="34" t="s">
        <v>3191</v>
      </c>
      <c r="G67" s="34" t="s">
        <v>3192</v>
      </c>
      <c r="H67" s="34" t="s">
        <v>3193</v>
      </c>
      <c r="I67" s="33" t="s">
        <v>84</v>
      </c>
      <c r="J67" s="34" t="s">
        <v>3194</v>
      </c>
      <c r="K67" s="35"/>
      <c r="L67" s="34" t="s">
        <v>2970</v>
      </c>
      <c r="M67" s="35" t="s">
        <v>29</v>
      </c>
      <c r="N67" s="34" t="s">
        <v>3195</v>
      </c>
      <c r="O67" s="35" t="s">
        <v>816</v>
      </c>
      <c r="P67" s="35" t="s">
        <v>1849</v>
      </c>
      <c r="Q67" s="2"/>
    </row>
    <row r="68" spans="1:17" ht="13.2" customHeight="1" x14ac:dyDescent="0.25">
      <c r="A68" s="33">
        <v>66</v>
      </c>
      <c r="B68" s="34" t="s">
        <v>3196</v>
      </c>
      <c r="C68" s="35"/>
      <c r="D68" s="34" t="s">
        <v>3197</v>
      </c>
      <c r="E68" s="34" t="s">
        <v>3198</v>
      </c>
      <c r="F68" s="34" t="s">
        <v>3199</v>
      </c>
      <c r="G68" s="34" t="s">
        <v>3200</v>
      </c>
      <c r="H68" s="34" t="s">
        <v>3200</v>
      </c>
      <c r="I68" s="33" t="s">
        <v>84</v>
      </c>
      <c r="J68" s="34" t="s">
        <v>3201</v>
      </c>
      <c r="K68" s="35"/>
      <c r="L68" s="34" t="s">
        <v>2970</v>
      </c>
      <c r="M68" s="35" t="s">
        <v>29</v>
      </c>
      <c r="N68" s="34" t="s">
        <v>3202</v>
      </c>
      <c r="O68" s="35" t="s">
        <v>816</v>
      </c>
      <c r="P68" s="35" t="s">
        <v>1849</v>
      </c>
      <c r="Q68" s="2"/>
    </row>
    <row r="69" spans="1:17" ht="13.2" customHeight="1" x14ac:dyDescent="0.25">
      <c r="A69" s="33">
        <v>67</v>
      </c>
      <c r="B69" s="34" t="s">
        <v>3203</v>
      </c>
      <c r="C69" s="35"/>
      <c r="D69" s="34" t="s">
        <v>3204</v>
      </c>
      <c r="E69" s="34" t="s">
        <v>3205</v>
      </c>
      <c r="F69" s="34" t="s">
        <v>3206</v>
      </c>
      <c r="G69" s="34" t="s">
        <v>3207</v>
      </c>
      <c r="H69" s="34" t="s">
        <v>3208</v>
      </c>
      <c r="I69" s="33" t="s">
        <v>84</v>
      </c>
      <c r="J69" s="34" t="s">
        <v>3209</v>
      </c>
      <c r="K69" s="35"/>
      <c r="L69" s="34" t="s">
        <v>2987</v>
      </c>
      <c r="M69" s="35" t="s">
        <v>29</v>
      </c>
      <c r="N69" s="34" t="s">
        <v>3210</v>
      </c>
      <c r="O69" s="35" t="s">
        <v>164</v>
      </c>
      <c r="P69" s="35" t="s">
        <v>1865</v>
      </c>
      <c r="Q69" s="2"/>
    </row>
    <row r="70" spans="1:17" ht="13.2" customHeight="1" x14ac:dyDescent="0.25">
      <c r="A70" s="33">
        <v>68</v>
      </c>
      <c r="B70" s="34" t="s">
        <v>3211</v>
      </c>
      <c r="C70" s="35"/>
      <c r="D70" s="34" t="s">
        <v>3212</v>
      </c>
      <c r="E70" s="34" t="s">
        <v>426</v>
      </c>
      <c r="F70" s="34" t="s">
        <v>290</v>
      </c>
      <c r="G70" s="34" t="s">
        <v>3213</v>
      </c>
      <c r="H70" s="34" t="s">
        <v>3214</v>
      </c>
      <c r="I70" s="33" t="s">
        <v>84</v>
      </c>
      <c r="J70" s="34" t="s">
        <v>3215</v>
      </c>
      <c r="K70" s="35"/>
      <c r="L70" s="34" t="s">
        <v>2970</v>
      </c>
      <c r="M70" s="35" t="s">
        <v>29</v>
      </c>
      <c r="N70" s="34" t="s">
        <v>3216</v>
      </c>
      <c r="O70" s="35" t="s">
        <v>164</v>
      </c>
      <c r="P70" s="35" t="s">
        <v>1865</v>
      </c>
      <c r="Q70" s="2"/>
    </row>
    <row r="71" spans="1:17" ht="13.2" customHeight="1" x14ac:dyDescent="0.25">
      <c r="A71" s="33">
        <v>69</v>
      </c>
      <c r="B71" s="34" t="s">
        <v>3217</v>
      </c>
      <c r="C71" s="35"/>
      <c r="D71" s="34" t="s">
        <v>3218</v>
      </c>
      <c r="E71" s="34" t="s">
        <v>3219</v>
      </c>
      <c r="F71" s="34" t="s">
        <v>2964</v>
      </c>
      <c r="G71" s="34" t="s">
        <v>2968</v>
      </c>
      <c r="H71" s="34" t="s">
        <v>3220</v>
      </c>
      <c r="I71" s="33">
        <v>4</v>
      </c>
      <c r="J71" s="34" t="s">
        <v>3221</v>
      </c>
      <c r="K71" s="35"/>
      <c r="L71" s="34" t="s">
        <v>3222</v>
      </c>
      <c r="M71" s="35" t="s">
        <v>29</v>
      </c>
      <c r="N71" s="34" t="s">
        <v>3223</v>
      </c>
      <c r="O71" s="35" t="s">
        <v>164</v>
      </c>
      <c r="P71" s="35" t="s">
        <v>1865</v>
      </c>
      <c r="Q71" s="2"/>
    </row>
    <row r="72" spans="1:17" ht="13.2" customHeight="1" x14ac:dyDescent="0.25">
      <c r="A72" s="33">
        <v>70</v>
      </c>
      <c r="B72" s="34" t="s">
        <v>3224</v>
      </c>
      <c r="C72" s="35"/>
      <c r="D72" s="34" t="s">
        <v>3225</v>
      </c>
      <c r="E72" s="34" t="s">
        <v>3226</v>
      </c>
      <c r="F72" s="34" t="s">
        <v>3227</v>
      </c>
      <c r="G72" s="34" t="s">
        <v>3228</v>
      </c>
      <c r="H72" s="34" t="s">
        <v>3229</v>
      </c>
      <c r="I72" s="33">
        <v>1</v>
      </c>
      <c r="J72" s="34" t="s">
        <v>3230</v>
      </c>
      <c r="K72" s="35"/>
      <c r="L72" s="34" t="s">
        <v>2970</v>
      </c>
      <c r="M72" s="35" t="s">
        <v>29</v>
      </c>
      <c r="N72" s="34" t="s">
        <v>3231</v>
      </c>
      <c r="O72" s="35" t="s">
        <v>164</v>
      </c>
      <c r="P72" s="35" t="s">
        <v>1865</v>
      </c>
      <c r="Q72" s="2"/>
    </row>
    <row r="73" spans="1:17" ht="13.2" customHeight="1" x14ac:dyDescent="0.25">
      <c r="A73" s="33">
        <v>71</v>
      </c>
      <c r="B73" s="34" t="s">
        <v>3232</v>
      </c>
      <c r="C73" s="35"/>
      <c r="D73" s="34" t="s">
        <v>3233</v>
      </c>
      <c r="E73" s="34" t="s">
        <v>3234</v>
      </c>
      <c r="F73" s="34" t="s">
        <v>3235</v>
      </c>
      <c r="G73" s="34" t="s">
        <v>3236</v>
      </c>
      <c r="H73" s="34" t="s">
        <v>3237</v>
      </c>
      <c r="I73" s="33">
        <v>3</v>
      </c>
      <c r="J73" s="34" t="s">
        <v>3238</v>
      </c>
      <c r="K73" s="35"/>
      <c r="L73" s="34" t="s">
        <v>2987</v>
      </c>
      <c r="M73" s="35" t="s">
        <v>29</v>
      </c>
      <c r="N73" s="34" t="s">
        <v>3239</v>
      </c>
      <c r="O73" s="35" t="s">
        <v>164</v>
      </c>
      <c r="P73" s="35" t="s">
        <v>1865</v>
      </c>
      <c r="Q73" s="2"/>
    </row>
    <row r="74" spans="1:17" ht="13.2" customHeight="1" x14ac:dyDescent="0.25">
      <c r="A74" s="33">
        <v>72</v>
      </c>
      <c r="B74" s="34" t="s">
        <v>3240</v>
      </c>
      <c r="C74" s="35"/>
      <c r="D74" s="34" t="s">
        <v>3241</v>
      </c>
      <c r="E74" s="34" t="s">
        <v>3242</v>
      </c>
      <c r="F74" s="34" t="s">
        <v>3243</v>
      </c>
      <c r="G74" s="34" t="s">
        <v>3198</v>
      </c>
      <c r="H74" s="34" t="s">
        <v>3244</v>
      </c>
      <c r="I74" s="33">
        <v>1</v>
      </c>
      <c r="J74" s="34" t="s">
        <v>3245</v>
      </c>
      <c r="K74" s="35"/>
      <c r="L74" s="34" t="s">
        <v>2931</v>
      </c>
      <c r="M74" s="35" t="s">
        <v>29</v>
      </c>
      <c r="N74" s="34" t="s">
        <v>3246</v>
      </c>
      <c r="O74" s="35" t="s">
        <v>164</v>
      </c>
      <c r="P74" s="35" t="s">
        <v>2017</v>
      </c>
      <c r="Q74" s="2"/>
    </row>
    <row r="75" spans="1:17" ht="13.2" customHeight="1" x14ac:dyDescent="0.25">
      <c r="A75" s="33">
        <v>73</v>
      </c>
      <c r="B75" s="34" t="s">
        <v>3247</v>
      </c>
      <c r="C75" s="35"/>
      <c r="D75" s="34" t="s">
        <v>3248</v>
      </c>
      <c r="E75" s="34" t="s">
        <v>3249</v>
      </c>
      <c r="F75" s="34" t="s">
        <v>3250</v>
      </c>
      <c r="G75" s="34" t="s">
        <v>3251</v>
      </c>
      <c r="H75" s="34"/>
      <c r="I75" s="33" t="s">
        <v>84</v>
      </c>
      <c r="J75" s="34" t="s">
        <v>3252</v>
      </c>
      <c r="K75" s="35"/>
      <c r="L75" s="34" t="s">
        <v>2970</v>
      </c>
      <c r="M75" s="35" t="s">
        <v>29</v>
      </c>
      <c r="N75" s="34" t="s">
        <v>3253</v>
      </c>
      <c r="O75" s="35" t="s">
        <v>164</v>
      </c>
      <c r="P75" s="35" t="s">
        <v>2109</v>
      </c>
      <c r="Q75" s="2"/>
    </row>
    <row r="76" spans="1:17" ht="13.2" customHeight="1" x14ac:dyDescent="0.25">
      <c r="A76" s="33">
        <v>74</v>
      </c>
      <c r="B76" s="34" t="s">
        <v>3254</v>
      </c>
      <c r="C76" s="35"/>
      <c r="D76" s="34" t="s">
        <v>3255</v>
      </c>
      <c r="E76" s="34" t="s">
        <v>3256</v>
      </c>
      <c r="F76" s="34" t="s">
        <v>3257</v>
      </c>
      <c r="G76" s="34" t="s">
        <v>3258</v>
      </c>
      <c r="H76" s="34" t="s">
        <v>3259</v>
      </c>
      <c r="I76" s="33" t="s">
        <v>84</v>
      </c>
      <c r="J76" s="34" t="s">
        <v>3260</v>
      </c>
      <c r="K76" s="35"/>
      <c r="L76" s="34" t="s">
        <v>2970</v>
      </c>
      <c r="M76" s="35" t="s">
        <v>29</v>
      </c>
      <c r="N76" s="34" t="s">
        <v>3261</v>
      </c>
      <c r="O76" s="35" t="s">
        <v>164</v>
      </c>
      <c r="P76" s="35" t="s">
        <v>2109</v>
      </c>
      <c r="Q76" s="2"/>
    </row>
    <row r="77" spans="1:17" ht="13.2" customHeight="1" x14ac:dyDescent="0.25">
      <c r="A77" s="33">
        <v>75</v>
      </c>
      <c r="B77" s="34" t="s">
        <v>3262</v>
      </c>
      <c r="C77" s="35"/>
      <c r="D77" s="34" t="s">
        <v>3263</v>
      </c>
      <c r="E77" s="34" t="s">
        <v>3264</v>
      </c>
      <c r="F77" s="34" t="s">
        <v>3265</v>
      </c>
      <c r="G77" s="34" t="s">
        <v>3266</v>
      </c>
      <c r="H77" s="34" t="s">
        <v>3267</v>
      </c>
      <c r="I77" s="33" t="s">
        <v>113</v>
      </c>
      <c r="J77" s="34" t="s">
        <v>3268</v>
      </c>
      <c r="K77" s="35"/>
      <c r="L77" s="34" t="s">
        <v>2987</v>
      </c>
      <c r="M77" s="35" t="s">
        <v>29</v>
      </c>
      <c r="N77" s="34" t="s">
        <v>3269</v>
      </c>
      <c r="O77" s="35" t="s">
        <v>164</v>
      </c>
      <c r="P77" s="35" t="s">
        <v>2109</v>
      </c>
      <c r="Q77" s="2"/>
    </row>
    <row r="78" spans="1:17" ht="13.2" customHeight="1" x14ac:dyDescent="0.25">
      <c r="A78" s="33">
        <v>76</v>
      </c>
      <c r="B78" s="34" t="s">
        <v>3270</v>
      </c>
      <c r="C78" s="35"/>
      <c r="D78" s="34" t="s">
        <v>3212</v>
      </c>
      <c r="E78" s="34" t="s">
        <v>3271</v>
      </c>
      <c r="F78" s="34" t="s">
        <v>426</v>
      </c>
      <c r="G78" s="34" t="s">
        <v>3272</v>
      </c>
      <c r="H78" s="34" t="s">
        <v>3273</v>
      </c>
      <c r="I78" s="33" t="s">
        <v>84</v>
      </c>
      <c r="J78" s="34" t="s">
        <v>3274</v>
      </c>
      <c r="K78" s="35"/>
      <c r="L78" s="34" t="s">
        <v>2987</v>
      </c>
      <c r="M78" s="35" t="s">
        <v>29</v>
      </c>
      <c r="N78" s="34" t="s">
        <v>3275</v>
      </c>
      <c r="O78" s="35" t="s">
        <v>164</v>
      </c>
      <c r="P78" s="35" t="s">
        <v>2109</v>
      </c>
      <c r="Q78" s="2"/>
    </row>
    <row r="79" spans="1:17" ht="13.2" customHeight="1" x14ac:dyDescent="0.25">
      <c r="A79" s="33">
        <v>77</v>
      </c>
      <c r="B79" s="34" t="s">
        <v>3276</v>
      </c>
      <c r="C79" s="35"/>
      <c r="D79" s="34" t="s">
        <v>3277</v>
      </c>
      <c r="E79" s="34" t="s">
        <v>3278</v>
      </c>
      <c r="F79" s="34" t="s">
        <v>3279</v>
      </c>
      <c r="G79" s="34" t="s">
        <v>3280</v>
      </c>
      <c r="H79" s="34" t="s">
        <v>3281</v>
      </c>
      <c r="I79" s="33" t="s">
        <v>84</v>
      </c>
      <c r="J79" s="34" t="s">
        <v>3282</v>
      </c>
      <c r="K79" s="35"/>
      <c r="L79" s="34" t="s">
        <v>2970</v>
      </c>
      <c r="M79" s="35" t="s">
        <v>29</v>
      </c>
      <c r="N79" s="34" t="s">
        <v>3283</v>
      </c>
      <c r="O79" s="35" t="s">
        <v>164</v>
      </c>
      <c r="P79" s="35" t="s">
        <v>2109</v>
      </c>
      <c r="Q79" s="2"/>
    </row>
    <row r="80" spans="1:17" ht="13.2" customHeight="1" x14ac:dyDescent="0.25">
      <c r="A80" s="33">
        <v>78</v>
      </c>
      <c r="B80" s="34" t="s">
        <v>3284</v>
      </c>
      <c r="C80" s="35"/>
      <c r="D80" s="34" t="s">
        <v>3249</v>
      </c>
      <c r="E80" s="34" t="s">
        <v>3250</v>
      </c>
      <c r="F80" s="34" t="s">
        <v>3251</v>
      </c>
      <c r="G80" s="34" t="s">
        <v>3285</v>
      </c>
      <c r="H80" s="34"/>
      <c r="I80" s="33" t="s">
        <v>84</v>
      </c>
      <c r="J80" s="34" t="s">
        <v>3286</v>
      </c>
      <c r="K80" s="35"/>
      <c r="L80" s="34" t="s">
        <v>2970</v>
      </c>
      <c r="M80" s="35" t="s">
        <v>29</v>
      </c>
      <c r="N80" s="34" t="s">
        <v>3287</v>
      </c>
      <c r="O80" s="35" t="s">
        <v>164</v>
      </c>
      <c r="P80" s="35" t="s">
        <v>2109</v>
      </c>
      <c r="Q80" s="2"/>
    </row>
    <row r="81" spans="1:17" ht="13.2" customHeight="1" x14ac:dyDescent="0.25">
      <c r="A81" s="33">
        <v>79</v>
      </c>
      <c r="B81" s="34" t="s">
        <v>3288</v>
      </c>
      <c r="C81" s="35"/>
      <c r="D81" s="34" t="s">
        <v>3289</v>
      </c>
      <c r="E81" s="34" t="s">
        <v>3290</v>
      </c>
      <c r="F81" s="34" t="s">
        <v>3291</v>
      </c>
      <c r="G81" s="34" t="s">
        <v>3292</v>
      </c>
      <c r="H81" s="34" t="s">
        <v>3293</v>
      </c>
      <c r="I81" s="33">
        <v>1</v>
      </c>
      <c r="J81" s="34" t="s">
        <v>3294</v>
      </c>
      <c r="K81" s="35"/>
      <c r="L81" s="34" t="s">
        <v>2970</v>
      </c>
      <c r="M81" s="35" t="s">
        <v>29</v>
      </c>
      <c r="N81" s="34" t="s">
        <v>3295</v>
      </c>
      <c r="O81" s="35" t="s">
        <v>164</v>
      </c>
      <c r="P81" s="35" t="s">
        <v>2109</v>
      </c>
      <c r="Q81" s="2"/>
    </row>
    <row r="82" spans="1:17" ht="13.2" customHeight="1" x14ac:dyDescent="0.25">
      <c r="A82" s="33">
        <v>80</v>
      </c>
      <c r="B82" s="34" t="s">
        <v>3296</v>
      </c>
      <c r="C82" s="35"/>
      <c r="D82" s="34" t="s">
        <v>3297</v>
      </c>
      <c r="E82" s="34" t="s">
        <v>3298</v>
      </c>
      <c r="F82" s="34" t="s">
        <v>3299</v>
      </c>
      <c r="G82" s="34" t="s">
        <v>3300</v>
      </c>
      <c r="H82" s="34" t="s">
        <v>3301</v>
      </c>
      <c r="I82" s="33" t="s">
        <v>84</v>
      </c>
      <c r="J82" s="34" t="s">
        <v>3302</v>
      </c>
      <c r="K82" s="35"/>
      <c r="L82" s="34" t="s">
        <v>2970</v>
      </c>
      <c r="M82" s="35" t="s">
        <v>29</v>
      </c>
      <c r="N82" s="34" t="s">
        <v>3303</v>
      </c>
      <c r="O82" s="35" t="s">
        <v>164</v>
      </c>
      <c r="P82" s="35" t="s">
        <v>2109</v>
      </c>
      <c r="Q82" s="2"/>
    </row>
    <row r="83" spans="1:17" ht="13.2" customHeight="1" x14ac:dyDescent="0.25">
      <c r="A83" s="33">
        <v>81</v>
      </c>
      <c r="B83" s="34" t="s">
        <v>3304</v>
      </c>
      <c r="C83" s="35"/>
      <c r="D83" s="34" t="s">
        <v>3244</v>
      </c>
      <c r="E83" s="34" t="s">
        <v>3305</v>
      </c>
      <c r="F83" s="34" t="s">
        <v>3306</v>
      </c>
      <c r="G83" s="34" t="s">
        <v>3243</v>
      </c>
      <c r="H83" s="34" t="s">
        <v>3307</v>
      </c>
      <c r="I83" s="33">
        <v>1</v>
      </c>
      <c r="J83" s="34" t="s">
        <v>3308</v>
      </c>
      <c r="K83" s="35"/>
      <c r="L83" s="34" t="s">
        <v>2987</v>
      </c>
      <c r="M83" s="35" t="s">
        <v>29</v>
      </c>
      <c r="N83" s="34" t="s">
        <v>3309</v>
      </c>
      <c r="O83" s="35" t="s">
        <v>164</v>
      </c>
      <c r="P83" s="35" t="s">
        <v>2109</v>
      </c>
      <c r="Q83" s="2"/>
    </row>
    <row r="84" spans="1:17" ht="13.2" customHeight="1" x14ac:dyDescent="0.25">
      <c r="A84" s="33">
        <v>82</v>
      </c>
      <c r="B84" s="34" t="s">
        <v>3310</v>
      </c>
      <c r="C84" s="35"/>
      <c r="D84" s="34" t="s">
        <v>3311</v>
      </c>
      <c r="E84" s="34" t="s">
        <v>3312</v>
      </c>
      <c r="F84" s="34" t="s">
        <v>3249</v>
      </c>
      <c r="G84" s="34" t="s">
        <v>3250</v>
      </c>
      <c r="H84" s="34"/>
      <c r="I84" s="33" t="s">
        <v>84</v>
      </c>
      <c r="J84" s="34" t="s">
        <v>3313</v>
      </c>
      <c r="K84" s="35"/>
      <c r="L84" s="34" t="s">
        <v>2987</v>
      </c>
      <c r="M84" s="35" t="s">
        <v>29</v>
      </c>
      <c r="N84" s="34" t="s">
        <v>3314</v>
      </c>
      <c r="O84" s="35" t="s">
        <v>164</v>
      </c>
      <c r="P84" s="35" t="s">
        <v>2109</v>
      </c>
      <c r="Q84" s="2"/>
    </row>
    <row r="85" spans="1:17" ht="13.2" customHeight="1" x14ac:dyDescent="0.25">
      <c r="A85" s="33">
        <v>83</v>
      </c>
      <c r="B85" s="34" t="s">
        <v>3315</v>
      </c>
      <c r="C85" s="35"/>
      <c r="D85" s="34" t="s">
        <v>3008</v>
      </c>
      <c r="E85" s="34" t="s">
        <v>3316</v>
      </c>
      <c r="F85" s="34" t="s">
        <v>3317</v>
      </c>
      <c r="G85" s="34" t="s">
        <v>3318</v>
      </c>
      <c r="H85" s="34" t="s">
        <v>3319</v>
      </c>
      <c r="I85" s="33">
        <v>2</v>
      </c>
      <c r="J85" s="34" t="s">
        <v>3320</v>
      </c>
      <c r="K85" s="35"/>
      <c r="L85" s="34" t="s">
        <v>2970</v>
      </c>
      <c r="M85" s="35" t="s">
        <v>29</v>
      </c>
      <c r="N85" s="34" t="s">
        <v>3321</v>
      </c>
      <c r="O85" s="35" t="s">
        <v>164</v>
      </c>
      <c r="P85" s="35" t="s">
        <v>2155</v>
      </c>
      <c r="Q85" s="2"/>
    </row>
    <row r="86" spans="1:17" ht="13.2" customHeight="1" x14ac:dyDescent="0.25">
      <c r="A86" s="33">
        <v>84</v>
      </c>
      <c r="B86" s="34" t="s">
        <v>3322</v>
      </c>
      <c r="C86" s="35"/>
      <c r="D86" s="34" t="s">
        <v>1237</v>
      </c>
      <c r="E86" s="34" t="s">
        <v>3323</v>
      </c>
      <c r="F86" s="34" t="s">
        <v>3324</v>
      </c>
      <c r="G86" s="34" t="s">
        <v>3325</v>
      </c>
      <c r="H86" s="34" t="s">
        <v>3326</v>
      </c>
      <c r="I86" s="33">
        <v>3</v>
      </c>
      <c r="J86" s="34" t="s">
        <v>3327</v>
      </c>
      <c r="K86" s="35"/>
      <c r="L86" s="34" t="s">
        <v>2970</v>
      </c>
      <c r="M86" s="35" t="s">
        <v>29</v>
      </c>
      <c r="N86" s="34" t="s">
        <v>3328</v>
      </c>
      <c r="O86" s="35" t="s">
        <v>164</v>
      </c>
      <c r="P86" s="35" t="s">
        <v>2155</v>
      </c>
      <c r="Q86" s="2"/>
    </row>
    <row r="87" spans="1:17" ht="13.2" customHeight="1" x14ac:dyDescent="0.25">
      <c r="A87" s="33">
        <v>85</v>
      </c>
      <c r="B87" s="34" t="s">
        <v>3329</v>
      </c>
      <c r="C87" s="35"/>
      <c r="D87" s="34" t="s">
        <v>3138</v>
      </c>
      <c r="E87" s="34" t="s">
        <v>3132</v>
      </c>
      <c r="F87" s="34" t="s">
        <v>3133</v>
      </c>
      <c r="G87" s="34" t="s">
        <v>3134</v>
      </c>
      <c r="H87" s="34"/>
      <c r="I87" s="33">
        <v>2</v>
      </c>
      <c r="J87" s="34" t="s">
        <v>3330</v>
      </c>
      <c r="K87" s="35"/>
      <c r="L87" s="34" t="s">
        <v>2719</v>
      </c>
      <c r="M87" s="35" t="s">
        <v>29</v>
      </c>
      <c r="N87" s="34" t="s">
        <v>3331</v>
      </c>
      <c r="O87" s="35" t="s">
        <v>164</v>
      </c>
      <c r="P87" s="35" t="s">
        <v>2155</v>
      </c>
      <c r="Q87" s="2"/>
    </row>
    <row r="88" spans="1:17" ht="13.2" customHeight="1" x14ac:dyDescent="0.25">
      <c r="A88" s="33">
        <v>86</v>
      </c>
      <c r="B88" s="34" t="s">
        <v>3332</v>
      </c>
      <c r="C88" s="35"/>
      <c r="D88" s="34" t="s">
        <v>3333</v>
      </c>
      <c r="E88" s="34" t="s">
        <v>3334</v>
      </c>
      <c r="F88" s="34" t="s">
        <v>3335</v>
      </c>
      <c r="G88" s="34" t="s">
        <v>3336</v>
      </c>
      <c r="H88" s="34"/>
      <c r="I88" s="33">
        <v>3</v>
      </c>
      <c r="J88" s="34" t="s">
        <v>3337</v>
      </c>
      <c r="K88" s="35"/>
      <c r="L88" s="34" t="s">
        <v>2931</v>
      </c>
      <c r="M88" s="35" t="s">
        <v>29</v>
      </c>
      <c r="N88" s="34" t="s">
        <v>3338</v>
      </c>
      <c r="O88" s="35" t="s">
        <v>164</v>
      </c>
      <c r="P88" s="35" t="s">
        <v>2155</v>
      </c>
      <c r="Q88" s="2"/>
    </row>
    <row r="89" spans="1:17" ht="13.2" customHeight="1" x14ac:dyDescent="0.25">
      <c r="A89" s="33">
        <v>87</v>
      </c>
      <c r="B89" s="34" t="s">
        <v>3339</v>
      </c>
      <c r="C89" s="35"/>
      <c r="D89" s="34" t="s">
        <v>3340</v>
      </c>
      <c r="E89" s="34" t="s">
        <v>3341</v>
      </c>
      <c r="F89" s="34" t="s">
        <v>3250</v>
      </c>
      <c r="G89" s="34" t="s">
        <v>3251</v>
      </c>
      <c r="H89" s="34"/>
      <c r="I89" s="33" t="s">
        <v>84</v>
      </c>
      <c r="J89" s="34" t="s">
        <v>3342</v>
      </c>
      <c r="K89" s="35"/>
      <c r="L89" s="34" t="s">
        <v>2987</v>
      </c>
      <c r="M89" s="35" t="s">
        <v>29</v>
      </c>
      <c r="N89" s="34" t="s">
        <v>3343</v>
      </c>
      <c r="O89" s="35" t="s">
        <v>164</v>
      </c>
      <c r="P89" s="35" t="s">
        <v>2155</v>
      </c>
      <c r="Q89" s="2"/>
    </row>
    <row r="90" spans="1:17" ht="13.2" customHeight="1" x14ac:dyDescent="0.25">
      <c r="A90" s="33">
        <v>88</v>
      </c>
      <c r="B90" s="34" t="s">
        <v>3344</v>
      </c>
      <c r="C90" s="35"/>
      <c r="D90" s="34" t="s">
        <v>539</v>
      </c>
      <c r="E90" s="34" t="s">
        <v>674</v>
      </c>
      <c r="F90" s="34" t="s">
        <v>362</v>
      </c>
      <c r="G90" s="34" t="s">
        <v>161</v>
      </c>
      <c r="H90" s="34" t="s">
        <v>276</v>
      </c>
      <c r="I90" s="33">
        <v>4</v>
      </c>
      <c r="J90" s="34" t="s">
        <v>3345</v>
      </c>
      <c r="K90" s="35"/>
      <c r="L90" s="34" t="s">
        <v>3346</v>
      </c>
      <c r="M90" s="35" t="s">
        <v>29</v>
      </c>
      <c r="N90" s="34" t="s">
        <v>3347</v>
      </c>
      <c r="O90" s="35" t="s">
        <v>164</v>
      </c>
      <c r="P90" s="35" t="s">
        <v>2155</v>
      </c>
      <c r="Q90" s="2"/>
    </row>
    <row r="91" spans="1:17" ht="13.2" customHeight="1" x14ac:dyDescent="0.25">
      <c r="A91" s="33">
        <v>89</v>
      </c>
      <c r="B91" s="34" t="s">
        <v>3348</v>
      </c>
      <c r="C91" s="35"/>
      <c r="D91" s="34" t="s">
        <v>3349</v>
      </c>
      <c r="E91" s="34" t="s">
        <v>3350</v>
      </c>
      <c r="F91" s="34" t="s">
        <v>3351</v>
      </c>
      <c r="G91" s="34" t="s">
        <v>3198</v>
      </c>
      <c r="H91" s="34"/>
      <c r="I91" s="33">
        <v>3</v>
      </c>
      <c r="J91" s="34" t="s">
        <v>3352</v>
      </c>
      <c r="K91" s="35"/>
      <c r="L91" s="34" t="s">
        <v>2961</v>
      </c>
      <c r="M91" s="35" t="s">
        <v>29</v>
      </c>
      <c r="N91" s="34" t="s">
        <v>3353</v>
      </c>
      <c r="O91" s="35" t="s">
        <v>164</v>
      </c>
      <c r="P91" s="35" t="s">
        <v>3354</v>
      </c>
      <c r="Q91" s="2"/>
    </row>
    <row r="92" spans="1:17" ht="13.2" customHeight="1" x14ac:dyDescent="0.25">
      <c r="A92" s="33">
        <v>90</v>
      </c>
      <c r="B92" s="34" t="s">
        <v>3355</v>
      </c>
      <c r="C92" s="35"/>
      <c r="D92" s="34" t="s">
        <v>3356</v>
      </c>
      <c r="E92" s="34" t="s">
        <v>3357</v>
      </c>
      <c r="F92" s="34" t="s">
        <v>3358</v>
      </c>
      <c r="G92" s="34" t="s">
        <v>3359</v>
      </c>
      <c r="H92" s="34"/>
      <c r="I92" s="33" t="s">
        <v>84</v>
      </c>
      <c r="J92" s="34" t="s">
        <v>3360</v>
      </c>
      <c r="K92" s="35"/>
      <c r="L92" s="34" t="s">
        <v>2970</v>
      </c>
      <c r="M92" s="35" t="s">
        <v>29</v>
      </c>
      <c r="N92" s="34" t="s">
        <v>3361</v>
      </c>
      <c r="O92" s="35" t="s">
        <v>164</v>
      </c>
      <c r="P92" s="35" t="s">
        <v>3354</v>
      </c>
      <c r="Q92" s="2"/>
    </row>
    <row r="93" spans="1:17" ht="13.2" customHeight="1" x14ac:dyDescent="0.25">
      <c r="A93" s="33">
        <v>91</v>
      </c>
      <c r="B93" s="34" t="s">
        <v>3362</v>
      </c>
      <c r="C93" s="35"/>
      <c r="D93" s="34" t="s">
        <v>3363</v>
      </c>
      <c r="E93" s="34" t="s">
        <v>3364</v>
      </c>
      <c r="F93" s="34" t="s">
        <v>3365</v>
      </c>
      <c r="G93" s="34" t="s">
        <v>3249</v>
      </c>
      <c r="H93" s="34"/>
      <c r="I93" s="33" t="s">
        <v>84</v>
      </c>
      <c r="J93" s="34" t="s">
        <v>3366</v>
      </c>
      <c r="K93" s="35"/>
      <c r="L93" s="34" t="s">
        <v>2931</v>
      </c>
      <c r="M93" s="35" t="s">
        <v>29</v>
      </c>
      <c r="N93" s="34" t="s">
        <v>3367</v>
      </c>
      <c r="O93" s="35" t="s">
        <v>164</v>
      </c>
      <c r="P93" s="35" t="s">
        <v>3354</v>
      </c>
      <c r="Q93" s="2"/>
    </row>
    <row r="94" spans="1:17" ht="13.2" customHeight="1" x14ac:dyDescent="0.25">
      <c r="A94" s="33">
        <v>92</v>
      </c>
      <c r="B94" s="34" t="s">
        <v>3368</v>
      </c>
      <c r="C94" s="35"/>
      <c r="D94" s="34" t="s">
        <v>3369</v>
      </c>
      <c r="E94" s="34" t="s">
        <v>3370</v>
      </c>
      <c r="F94" s="34" t="s">
        <v>3371</v>
      </c>
      <c r="G94" s="34" t="s">
        <v>3285</v>
      </c>
      <c r="H94" s="34"/>
      <c r="I94" s="33" t="s">
        <v>84</v>
      </c>
      <c r="J94" s="34" t="s">
        <v>3372</v>
      </c>
      <c r="K94" s="35"/>
      <c r="L94" s="34" t="s">
        <v>2719</v>
      </c>
      <c r="M94" s="35" t="s">
        <v>29</v>
      </c>
      <c r="N94" s="34" t="s">
        <v>3373</v>
      </c>
      <c r="O94" s="35" t="s">
        <v>164</v>
      </c>
      <c r="P94" s="35" t="s">
        <v>3354</v>
      </c>
      <c r="Q94" s="2"/>
    </row>
    <row r="95" spans="1:17" ht="13.2" customHeight="1" x14ac:dyDescent="0.25">
      <c r="A95" s="33">
        <v>93</v>
      </c>
      <c r="B95" s="34" t="s">
        <v>3374</v>
      </c>
      <c r="C95" s="35"/>
      <c r="D95" s="34" t="s">
        <v>3375</v>
      </c>
      <c r="E95" s="34" t="s">
        <v>3376</v>
      </c>
      <c r="F95" s="34" t="s">
        <v>3377</v>
      </c>
      <c r="G95" s="34" t="s">
        <v>3244</v>
      </c>
      <c r="H95" s="34"/>
      <c r="I95" s="33" t="s">
        <v>84</v>
      </c>
      <c r="J95" s="34" t="s">
        <v>3378</v>
      </c>
      <c r="K95" s="35"/>
      <c r="L95" s="34" t="s">
        <v>2719</v>
      </c>
      <c r="M95" s="35" t="s">
        <v>29</v>
      </c>
      <c r="N95" s="34" t="s">
        <v>3379</v>
      </c>
      <c r="O95" s="35" t="s">
        <v>164</v>
      </c>
      <c r="P95" s="35" t="s">
        <v>3354</v>
      </c>
      <c r="Q95" s="2"/>
    </row>
    <row r="96" spans="1:17" ht="13.2" customHeight="1" x14ac:dyDescent="0.25">
      <c r="A96" s="33">
        <v>94</v>
      </c>
      <c r="B96" s="34" t="s">
        <v>3380</v>
      </c>
      <c r="C96" s="35"/>
      <c r="D96" s="34" t="s">
        <v>3381</v>
      </c>
      <c r="E96" s="34" t="s">
        <v>3382</v>
      </c>
      <c r="F96" s="34" t="s">
        <v>3383</v>
      </c>
      <c r="G96" s="34" t="s">
        <v>3384</v>
      </c>
      <c r="H96" s="34" t="s">
        <v>3385</v>
      </c>
      <c r="I96" s="33" t="s">
        <v>84</v>
      </c>
      <c r="J96" s="34" t="s">
        <v>3386</v>
      </c>
      <c r="K96" s="35"/>
      <c r="L96" s="34" t="s">
        <v>2970</v>
      </c>
      <c r="M96" s="35" t="s">
        <v>29</v>
      </c>
      <c r="N96" s="34" t="s">
        <v>3387</v>
      </c>
      <c r="O96" s="35" t="s">
        <v>164</v>
      </c>
      <c r="P96" s="35" t="s">
        <v>2206</v>
      </c>
    </row>
    <row r="97" spans="1:16" ht="13.2" customHeight="1" x14ac:dyDescent="0.25">
      <c r="A97" s="33">
        <v>95</v>
      </c>
      <c r="B97" s="34" t="s">
        <v>3388</v>
      </c>
      <c r="C97" s="35"/>
      <c r="D97" s="34" t="s">
        <v>3389</v>
      </c>
      <c r="E97" s="34" t="s">
        <v>459</v>
      </c>
      <c r="F97" s="34" t="s">
        <v>3390</v>
      </c>
      <c r="G97" s="34" t="s">
        <v>331</v>
      </c>
      <c r="H97" s="34" t="s">
        <v>3391</v>
      </c>
      <c r="I97" s="33">
        <v>5</v>
      </c>
      <c r="J97" s="34" t="s">
        <v>3392</v>
      </c>
      <c r="K97" s="35"/>
      <c r="L97" s="34" t="s">
        <v>3346</v>
      </c>
      <c r="M97" s="35" t="s">
        <v>29</v>
      </c>
      <c r="N97" s="34" t="s">
        <v>3393</v>
      </c>
      <c r="O97" s="35" t="s">
        <v>164</v>
      </c>
      <c r="P97" s="35" t="s">
        <v>2206</v>
      </c>
    </row>
    <row r="98" spans="1:16" ht="13.2" customHeight="1" x14ac:dyDescent="0.25">
      <c r="A98" s="33">
        <v>96</v>
      </c>
      <c r="B98" s="34" t="s">
        <v>3394</v>
      </c>
      <c r="C98" s="35"/>
      <c r="D98" s="34" t="s">
        <v>3395</v>
      </c>
      <c r="E98" s="34" t="s">
        <v>3396</v>
      </c>
      <c r="F98" s="34" t="s">
        <v>3397</v>
      </c>
      <c r="G98" s="34" t="s">
        <v>3398</v>
      </c>
      <c r="H98" s="34" t="s">
        <v>3399</v>
      </c>
      <c r="I98" s="33">
        <v>3</v>
      </c>
      <c r="J98" s="34" t="s">
        <v>3400</v>
      </c>
      <c r="K98" s="35"/>
      <c r="L98" s="34" t="s">
        <v>3401</v>
      </c>
      <c r="M98" s="35" t="s">
        <v>29</v>
      </c>
      <c r="N98" s="34" t="s">
        <v>3402</v>
      </c>
      <c r="O98" s="35" t="s">
        <v>164</v>
      </c>
      <c r="P98" s="35" t="s">
        <v>2206</v>
      </c>
    </row>
    <row r="99" spans="1:16" ht="13.2" customHeight="1" x14ac:dyDescent="0.25">
      <c r="A99" s="33">
        <v>97</v>
      </c>
      <c r="B99" s="34" t="s">
        <v>3403</v>
      </c>
      <c r="C99" s="35"/>
      <c r="D99" s="34" t="s">
        <v>3249</v>
      </c>
      <c r="E99" s="34" t="s">
        <v>3250</v>
      </c>
      <c r="F99" s="34" t="s">
        <v>3251</v>
      </c>
      <c r="G99" s="34" t="s">
        <v>3285</v>
      </c>
      <c r="H99" s="34" t="s">
        <v>3305</v>
      </c>
      <c r="I99" s="33" t="s">
        <v>84</v>
      </c>
      <c r="J99" s="34" t="s">
        <v>3404</v>
      </c>
      <c r="K99" s="35"/>
      <c r="L99" s="34" t="s">
        <v>2970</v>
      </c>
      <c r="M99" s="35" t="s">
        <v>29</v>
      </c>
      <c r="N99" s="34" t="s">
        <v>3405</v>
      </c>
      <c r="O99" s="35" t="s">
        <v>164</v>
      </c>
      <c r="P99" s="35" t="s">
        <v>2271</v>
      </c>
    </row>
    <row r="100" spans="1:16" ht="13.2" customHeight="1" x14ac:dyDescent="0.25">
      <c r="A100" s="33">
        <v>98</v>
      </c>
      <c r="B100" s="34" t="s">
        <v>3406</v>
      </c>
      <c r="C100" s="35"/>
      <c r="D100" s="34" t="s">
        <v>3407</v>
      </c>
      <c r="E100" s="34" t="s">
        <v>3408</v>
      </c>
      <c r="F100" s="34" t="s">
        <v>3409</v>
      </c>
      <c r="G100" s="34" t="s">
        <v>3410</v>
      </c>
      <c r="H100" s="34" t="s">
        <v>3411</v>
      </c>
      <c r="I100" s="33" t="s">
        <v>84</v>
      </c>
      <c r="J100" s="34" t="s">
        <v>3412</v>
      </c>
      <c r="K100" s="35"/>
      <c r="L100" s="34" t="s">
        <v>2970</v>
      </c>
      <c r="M100" s="35" t="s">
        <v>29</v>
      </c>
      <c r="N100" s="34" t="s">
        <v>2241</v>
      </c>
      <c r="O100" s="35" t="s">
        <v>164</v>
      </c>
      <c r="P100" s="35" t="s">
        <v>2317</v>
      </c>
    </row>
    <row r="101" spans="1:16" ht="13.2" customHeight="1" x14ac:dyDescent="0.25">
      <c r="A101" s="33">
        <v>99</v>
      </c>
      <c r="B101" s="34" t="s">
        <v>3413</v>
      </c>
      <c r="C101" s="35"/>
      <c r="D101" s="34" t="s">
        <v>3414</v>
      </c>
      <c r="E101" s="34" t="s">
        <v>3415</v>
      </c>
      <c r="F101" s="34" t="s">
        <v>3039</v>
      </c>
      <c r="G101" s="34" t="s">
        <v>3038</v>
      </c>
      <c r="H101" s="34" t="s">
        <v>3416</v>
      </c>
      <c r="I101" s="33" t="s">
        <v>84</v>
      </c>
      <c r="J101" s="34" t="s">
        <v>3417</v>
      </c>
      <c r="K101" s="35"/>
      <c r="L101" s="34" t="s">
        <v>2970</v>
      </c>
      <c r="M101" s="35" t="s">
        <v>29</v>
      </c>
      <c r="N101" s="34" t="s">
        <v>2263</v>
      </c>
      <c r="O101" s="35" t="s">
        <v>164</v>
      </c>
      <c r="P101" s="35" t="s">
        <v>2317</v>
      </c>
    </row>
    <row r="102" spans="1:16" ht="13.2" customHeight="1" x14ac:dyDescent="0.25">
      <c r="A102" s="33">
        <v>100</v>
      </c>
      <c r="B102" s="34" t="s">
        <v>3418</v>
      </c>
      <c r="C102" s="35"/>
      <c r="D102" s="34" t="s">
        <v>3419</v>
      </c>
      <c r="E102" s="34" t="s">
        <v>3420</v>
      </c>
      <c r="F102" s="34" t="s">
        <v>3421</v>
      </c>
      <c r="G102" s="34" t="s">
        <v>3422</v>
      </c>
      <c r="H102" s="34" t="s">
        <v>3423</v>
      </c>
      <c r="I102" s="33" t="s">
        <v>84</v>
      </c>
      <c r="J102" s="34" t="s">
        <v>3424</v>
      </c>
      <c r="K102" s="35"/>
      <c r="L102" s="34" t="s">
        <v>2970</v>
      </c>
      <c r="M102" s="35" t="s">
        <v>29</v>
      </c>
      <c r="N102" s="34" t="s">
        <v>2214</v>
      </c>
      <c r="O102" s="35" t="s">
        <v>164</v>
      </c>
      <c r="P102" s="35" t="s">
        <v>2317</v>
      </c>
    </row>
    <row r="103" spans="1:16" ht="13.2" customHeight="1" x14ac:dyDescent="0.25">
      <c r="A103" s="33">
        <v>101</v>
      </c>
      <c r="B103" s="34" t="s">
        <v>3425</v>
      </c>
      <c r="C103" s="35"/>
      <c r="D103" s="34" t="s">
        <v>3426</v>
      </c>
      <c r="E103" s="34" t="s">
        <v>3271</v>
      </c>
      <c r="F103" s="34" t="s">
        <v>3212</v>
      </c>
      <c r="G103" s="34" t="s">
        <v>3427</v>
      </c>
      <c r="H103" s="34" t="s">
        <v>426</v>
      </c>
      <c r="I103" s="33">
        <v>4</v>
      </c>
      <c r="J103" s="34" t="s">
        <v>3428</v>
      </c>
      <c r="K103" s="35"/>
      <c r="L103" s="34" t="s">
        <v>3429</v>
      </c>
      <c r="M103" s="35" t="s">
        <v>29</v>
      </c>
      <c r="N103" s="34" t="s">
        <v>2241</v>
      </c>
      <c r="O103" s="35" t="s">
        <v>164</v>
      </c>
      <c r="P103" s="35" t="s">
        <v>2317</v>
      </c>
    </row>
    <row r="104" spans="1:16" ht="13.2" customHeight="1" x14ac:dyDescent="0.25">
      <c r="A104" s="33">
        <v>102</v>
      </c>
      <c r="B104" s="34" t="s">
        <v>3430</v>
      </c>
      <c r="C104" s="35"/>
      <c r="D104" s="34" t="s">
        <v>3431</v>
      </c>
      <c r="E104" s="34" t="s">
        <v>3432</v>
      </c>
      <c r="F104" s="34" t="s">
        <v>3433</v>
      </c>
      <c r="G104" s="34" t="s">
        <v>3434</v>
      </c>
      <c r="H104" s="34" t="s">
        <v>3435</v>
      </c>
      <c r="I104" s="33" t="s">
        <v>84</v>
      </c>
      <c r="J104" s="34" t="s">
        <v>3436</v>
      </c>
      <c r="K104" s="35"/>
      <c r="L104" s="34" t="s">
        <v>2987</v>
      </c>
      <c r="M104" s="35" t="s">
        <v>29</v>
      </c>
      <c r="N104" s="34" t="s">
        <v>2222</v>
      </c>
      <c r="O104" s="35" t="s">
        <v>164</v>
      </c>
      <c r="P104" s="35" t="s">
        <v>2317</v>
      </c>
    </row>
    <row r="105" spans="1:16" ht="13.2" customHeight="1" x14ac:dyDescent="0.25">
      <c r="A105" s="33">
        <v>103</v>
      </c>
      <c r="B105" s="34" t="s">
        <v>3437</v>
      </c>
      <c r="C105" s="35"/>
      <c r="D105" s="34" t="s">
        <v>3438</v>
      </c>
      <c r="E105" s="34" t="s">
        <v>3408</v>
      </c>
      <c r="F105" s="34" t="s">
        <v>3409</v>
      </c>
      <c r="G105" s="34" t="s">
        <v>3410</v>
      </c>
      <c r="H105" s="34" t="s">
        <v>3439</v>
      </c>
      <c r="I105" s="33" t="s">
        <v>84</v>
      </c>
      <c r="J105" s="34" t="s">
        <v>3440</v>
      </c>
      <c r="K105" s="35"/>
      <c r="L105" s="34" t="s">
        <v>2970</v>
      </c>
      <c r="M105" s="35" t="s">
        <v>29</v>
      </c>
      <c r="N105" s="34" t="s">
        <v>2281</v>
      </c>
      <c r="O105" s="35" t="s">
        <v>164</v>
      </c>
      <c r="P105" s="35" t="s">
        <v>2317</v>
      </c>
    </row>
    <row r="106" spans="1:16" ht="13.2" customHeight="1" x14ac:dyDescent="0.25">
      <c r="A106" s="33">
        <v>104</v>
      </c>
      <c r="B106" s="34" t="s">
        <v>3441</v>
      </c>
      <c r="C106" s="35"/>
      <c r="D106" s="34" t="s">
        <v>3442</v>
      </c>
      <c r="E106" s="34" t="s">
        <v>3443</v>
      </c>
      <c r="F106" s="34" t="s">
        <v>3444</v>
      </c>
      <c r="G106" s="34" t="s">
        <v>3445</v>
      </c>
      <c r="H106" s="34" t="s">
        <v>3359</v>
      </c>
      <c r="I106" s="33">
        <v>2</v>
      </c>
      <c r="J106" s="34" t="s">
        <v>3446</v>
      </c>
      <c r="K106" s="35"/>
      <c r="L106" s="34" t="s">
        <v>3429</v>
      </c>
      <c r="M106" s="35" t="s">
        <v>29</v>
      </c>
      <c r="N106" s="34" t="s">
        <v>3447</v>
      </c>
      <c r="O106" s="35" t="s">
        <v>164</v>
      </c>
      <c r="P106" s="35" t="s">
        <v>2317</v>
      </c>
    </row>
    <row r="107" spans="1:16" ht="13.2" customHeight="1" x14ac:dyDescent="0.25">
      <c r="A107" s="33">
        <v>105</v>
      </c>
      <c r="B107" s="34" t="s">
        <v>3448</v>
      </c>
      <c r="C107" s="35"/>
      <c r="D107" s="34" t="s">
        <v>3431</v>
      </c>
      <c r="E107" s="34" t="s">
        <v>3432</v>
      </c>
      <c r="F107" s="34" t="s">
        <v>3433</v>
      </c>
      <c r="G107" s="34" t="s">
        <v>3434</v>
      </c>
      <c r="H107" s="34" t="s">
        <v>3449</v>
      </c>
      <c r="I107" s="33" t="s">
        <v>84</v>
      </c>
      <c r="J107" s="34" t="s">
        <v>3450</v>
      </c>
      <c r="K107" s="35"/>
      <c r="L107" s="34" t="s">
        <v>2970</v>
      </c>
      <c r="M107" s="35" t="s">
        <v>29</v>
      </c>
      <c r="N107" s="34" t="s">
        <v>2284</v>
      </c>
      <c r="O107" s="35" t="s">
        <v>164</v>
      </c>
      <c r="P107" s="35" t="s">
        <v>2317</v>
      </c>
    </row>
    <row r="108" spans="1:16" ht="13.2" customHeight="1" x14ac:dyDescent="0.25">
      <c r="A108" s="33">
        <v>106</v>
      </c>
      <c r="B108" s="34" t="s">
        <v>3451</v>
      </c>
      <c r="C108" s="35"/>
      <c r="D108" s="34" t="s">
        <v>3452</v>
      </c>
      <c r="E108" s="34" t="s">
        <v>3453</v>
      </c>
      <c r="F108" s="34" t="s">
        <v>3454</v>
      </c>
      <c r="G108" s="34" t="s">
        <v>3455</v>
      </c>
      <c r="H108" s="34" t="s">
        <v>3456</v>
      </c>
      <c r="I108" s="33" t="s">
        <v>84</v>
      </c>
      <c r="J108" s="34" t="s">
        <v>3457</v>
      </c>
      <c r="K108" s="35"/>
      <c r="L108" s="34" t="s">
        <v>2987</v>
      </c>
      <c r="M108" s="35" t="s">
        <v>29</v>
      </c>
      <c r="N108" s="34" t="s">
        <v>3458</v>
      </c>
      <c r="O108" s="35" t="s">
        <v>164</v>
      </c>
      <c r="P108" s="35" t="s">
        <v>2436</v>
      </c>
    </row>
    <row r="109" spans="1:16" ht="13.2" customHeight="1" x14ac:dyDescent="0.25">
      <c r="A109" s="33">
        <v>107</v>
      </c>
      <c r="B109" s="34" t="s">
        <v>3459</v>
      </c>
      <c r="C109" s="35"/>
      <c r="D109" s="34" t="s">
        <v>3460</v>
      </c>
      <c r="E109" s="34" t="s">
        <v>3461</v>
      </c>
      <c r="F109" s="34" t="s">
        <v>3462</v>
      </c>
      <c r="G109" s="34" t="s">
        <v>3463</v>
      </c>
      <c r="H109" s="34" t="s">
        <v>3464</v>
      </c>
      <c r="I109" s="33">
        <v>4</v>
      </c>
      <c r="J109" s="34" t="s">
        <v>3465</v>
      </c>
      <c r="K109" s="35"/>
      <c r="L109" s="34" t="s">
        <v>3466</v>
      </c>
      <c r="M109" s="35" t="s">
        <v>29</v>
      </c>
      <c r="N109" s="34" t="s">
        <v>3467</v>
      </c>
      <c r="O109" s="35" t="s">
        <v>164</v>
      </c>
      <c r="P109" s="35" t="s">
        <v>2436</v>
      </c>
    </row>
    <row r="110" spans="1:16" ht="13.2" customHeight="1" x14ac:dyDescent="0.25">
      <c r="A110" s="33">
        <v>108</v>
      </c>
      <c r="B110" s="34" t="s">
        <v>3468</v>
      </c>
      <c r="C110" s="35"/>
      <c r="D110" s="34" t="s">
        <v>3469</v>
      </c>
      <c r="E110" s="34" t="s">
        <v>3038</v>
      </c>
      <c r="F110" s="34" t="s">
        <v>3470</v>
      </c>
      <c r="G110" s="34" t="s">
        <v>3471</v>
      </c>
      <c r="H110" s="34" t="s">
        <v>3035</v>
      </c>
      <c r="I110" s="33">
        <v>2</v>
      </c>
      <c r="J110" s="34" t="s">
        <v>3472</v>
      </c>
      <c r="K110" s="35"/>
      <c r="L110" s="34" t="s">
        <v>3473</v>
      </c>
      <c r="M110" s="35" t="s">
        <v>29</v>
      </c>
      <c r="N110" s="34" t="s">
        <v>3474</v>
      </c>
      <c r="O110" s="35" t="s">
        <v>164</v>
      </c>
      <c r="P110" s="35" t="s">
        <v>2514</v>
      </c>
    </row>
    <row r="111" spans="1:16" ht="13.2" customHeight="1" x14ac:dyDescent="0.25">
      <c r="A111" s="33">
        <v>109</v>
      </c>
      <c r="B111" s="34" t="s">
        <v>3475</v>
      </c>
      <c r="C111" s="35"/>
      <c r="D111" s="34" t="s">
        <v>3476</v>
      </c>
      <c r="E111" s="34" t="s">
        <v>3008</v>
      </c>
      <c r="F111" s="34" t="s">
        <v>3098</v>
      </c>
      <c r="G111" s="34" t="s">
        <v>3477</v>
      </c>
      <c r="H111" s="34" t="s">
        <v>3478</v>
      </c>
      <c r="I111" s="33">
        <v>2</v>
      </c>
      <c r="J111" s="34" t="s">
        <v>3479</v>
      </c>
      <c r="K111" s="35"/>
      <c r="L111" s="34" t="s">
        <v>2970</v>
      </c>
      <c r="M111" s="35" t="s">
        <v>29</v>
      </c>
      <c r="N111" s="34" t="s">
        <v>3480</v>
      </c>
      <c r="O111" s="35" t="s">
        <v>164</v>
      </c>
      <c r="P111" s="35" t="s">
        <v>2514</v>
      </c>
    </row>
    <row r="112" spans="1:16" ht="13.2" customHeight="1" x14ac:dyDescent="0.25">
      <c r="A112" s="33">
        <v>110</v>
      </c>
      <c r="B112" s="34" t="s">
        <v>3481</v>
      </c>
      <c r="C112" s="35"/>
      <c r="D112" s="34" t="s">
        <v>3482</v>
      </c>
      <c r="E112" s="34" t="s">
        <v>3036</v>
      </c>
      <c r="F112" s="34" t="s">
        <v>3483</v>
      </c>
      <c r="G112" s="34" t="s">
        <v>674</v>
      </c>
      <c r="H112" s="34" t="s">
        <v>3484</v>
      </c>
      <c r="I112" s="33">
        <v>5</v>
      </c>
      <c r="J112" s="34" t="s">
        <v>3485</v>
      </c>
      <c r="K112" s="35"/>
      <c r="L112" s="34" t="s">
        <v>2970</v>
      </c>
      <c r="M112" s="35" t="s">
        <v>29</v>
      </c>
      <c r="N112" s="34" t="s">
        <v>3486</v>
      </c>
      <c r="O112" s="35" t="s">
        <v>164</v>
      </c>
      <c r="P112" s="35" t="s">
        <v>2514</v>
      </c>
    </row>
    <row r="113" spans="1:16" ht="13.2" customHeight="1" x14ac:dyDescent="0.25">
      <c r="A113" s="33">
        <v>111</v>
      </c>
      <c r="B113" s="34" t="s">
        <v>3487</v>
      </c>
      <c r="C113" s="35"/>
      <c r="D113" s="34" t="s">
        <v>3482</v>
      </c>
      <c r="E113" s="34" t="s">
        <v>3036</v>
      </c>
      <c r="F113" s="34" t="s">
        <v>3483</v>
      </c>
      <c r="G113" s="34" t="s">
        <v>674</v>
      </c>
      <c r="H113" s="34" t="s">
        <v>3484</v>
      </c>
      <c r="I113" s="33">
        <v>3</v>
      </c>
      <c r="J113" s="34" t="s">
        <v>3488</v>
      </c>
      <c r="K113" s="35"/>
      <c r="L113" s="34" t="s">
        <v>2970</v>
      </c>
      <c r="M113" s="35" t="s">
        <v>29</v>
      </c>
      <c r="N113" s="34" t="s">
        <v>3489</v>
      </c>
      <c r="O113" s="35" t="s">
        <v>164</v>
      </c>
      <c r="P113" s="35" t="s">
        <v>2514</v>
      </c>
    </row>
    <row r="114" spans="1:16" ht="13.2" customHeight="1" x14ac:dyDescent="0.25">
      <c r="A114" s="33">
        <v>112</v>
      </c>
      <c r="B114" s="34" t="s">
        <v>3490</v>
      </c>
      <c r="C114" s="35"/>
      <c r="D114" s="34" t="s">
        <v>3491</v>
      </c>
      <c r="E114" s="34" t="s">
        <v>3492</v>
      </c>
      <c r="F114" s="34" t="s">
        <v>3493</v>
      </c>
      <c r="G114" s="34" t="s">
        <v>3494</v>
      </c>
      <c r="H114" s="34" t="s">
        <v>3495</v>
      </c>
      <c r="I114" s="33" t="s">
        <v>84</v>
      </c>
      <c r="J114" s="34" t="s">
        <v>3496</v>
      </c>
      <c r="K114" s="35"/>
      <c r="L114" s="34" t="s">
        <v>2970</v>
      </c>
      <c r="M114" s="35" t="s">
        <v>29</v>
      </c>
      <c r="N114" s="34" t="s">
        <v>3497</v>
      </c>
      <c r="O114" s="35" t="s">
        <v>164</v>
      </c>
      <c r="P114" s="35" t="s">
        <v>2514</v>
      </c>
    </row>
    <row r="115" spans="1:16" ht="13.2" customHeight="1" x14ac:dyDescent="0.25">
      <c r="A115" s="33">
        <v>113</v>
      </c>
      <c r="B115" s="34" t="s">
        <v>3498</v>
      </c>
      <c r="C115" s="35"/>
      <c r="D115" s="34" t="s">
        <v>3499</v>
      </c>
      <c r="E115" s="34" t="s">
        <v>3500</v>
      </c>
      <c r="F115" s="34" t="s">
        <v>3501</v>
      </c>
      <c r="G115" s="34" t="s">
        <v>3502</v>
      </c>
      <c r="H115" s="34" t="s">
        <v>3503</v>
      </c>
      <c r="I115" s="33" t="s">
        <v>84</v>
      </c>
      <c r="J115" s="34" t="s">
        <v>3504</v>
      </c>
      <c r="K115" s="35"/>
      <c r="L115" s="34" t="s">
        <v>2970</v>
      </c>
      <c r="M115" s="35" t="s">
        <v>29</v>
      </c>
      <c r="N115" s="34" t="s">
        <v>3505</v>
      </c>
      <c r="O115" s="35" t="s">
        <v>816</v>
      </c>
      <c r="P115" s="35" t="s">
        <v>2629</v>
      </c>
    </row>
    <row r="116" spans="1:16" ht="13.2" customHeight="1" x14ac:dyDescent="0.25">
      <c r="A116" s="33">
        <v>114</v>
      </c>
      <c r="B116" s="34" t="s">
        <v>3506</v>
      </c>
      <c r="C116" s="35"/>
      <c r="D116" s="34" t="s">
        <v>3098</v>
      </c>
      <c r="E116" s="34" t="s">
        <v>3317</v>
      </c>
      <c r="F116" s="34" t="s">
        <v>3099</v>
      </c>
      <c r="G116" s="34" t="s">
        <v>3507</v>
      </c>
      <c r="H116" s="34" t="s">
        <v>3508</v>
      </c>
      <c r="I116" s="33" t="s">
        <v>84</v>
      </c>
      <c r="J116" s="34" t="s">
        <v>3509</v>
      </c>
      <c r="K116" s="35"/>
      <c r="L116" s="34" t="s">
        <v>2970</v>
      </c>
      <c r="M116" s="35" t="s">
        <v>29</v>
      </c>
      <c r="N116" s="34" t="s">
        <v>3510</v>
      </c>
      <c r="O116" s="35" t="s">
        <v>816</v>
      </c>
      <c r="P116" s="35" t="s">
        <v>2629</v>
      </c>
    </row>
    <row r="117" spans="1:16" ht="13.2" customHeight="1" x14ac:dyDescent="0.25">
      <c r="A117" s="33">
        <v>115</v>
      </c>
      <c r="B117" s="34" t="s">
        <v>3511</v>
      </c>
      <c r="C117" s="35"/>
      <c r="D117" s="34" t="s">
        <v>3512</v>
      </c>
      <c r="E117" s="34" t="s">
        <v>3513</v>
      </c>
      <c r="F117" s="34" t="s">
        <v>3514</v>
      </c>
      <c r="G117" s="34" t="s">
        <v>3515</v>
      </c>
      <c r="H117" s="34" t="s">
        <v>3516</v>
      </c>
      <c r="I117" s="33" t="s">
        <v>84</v>
      </c>
      <c r="J117" s="34" t="s">
        <v>3517</v>
      </c>
      <c r="K117" s="35"/>
      <c r="L117" s="34" t="s">
        <v>2987</v>
      </c>
      <c r="M117" s="35" t="s">
        <v>29</v>
      </c>
      <c r="N117" s="34" t="s">
        <v>3518</v>
      </c>
      <c r="O117" s="35" t="s">
        <v>816</v>
      </c>
      <c r="P117" s="35" t="s">
        <v>2629</v>
      </c>
    </row>
    <row r="118" spans="1:16" ht="13.2" customHeight="1" x14ac:dyDescent="0.25">
      <c r="A118" s="33">
        <v>116</v>
      </c>
      <c r="B118" s="34" t="s">
        <v>3519</v>
      </c>
      <c r="C118" s="35"/>
      <c r="D118" s="34" t="s">
        <v>3250</v>
      </c>
      <c r="E118" s="34" t="s">
        <v>3251</v>
      </c>
      <c r="F118" s="34" t="s">
        <v>3285</v>
      </c>
      <c r="G118" s="34" t="s">
        <v>3305</v>
      </c>
      <c r="H118" s="34" t="s">
        <v>3242</v>
      </c>
      <c r="I118" s="33" t="s">
        <v>84</v>
      </c>
      <c r="J118" s="34" t="s">
        <v>3520</v>
      </c>
      <c r="K118" s="35"/>
      <c r="L118" s="34" t="s">
        <v>2987</v>
      </c>
      <c r="M118" s="35" t="s">
        <v>29</v>
      </c>
      <c r="N118" s="34" t="s">
        <v>3521</v>
      </c>
      <c r="O118" s="35" t="s">
        <v>816</v>
      </c>
      <c r="P118" s="35" t="s">
        <v>2629</v>
      </c>
    </row>
    <row r="119" spans="1:16" ht="13.2" customHeight="1" x14ac:dyDescent="0.25">
      <c r="A119" s="33">
        <v>117</v>
      </c>
      <c r="B119" s="34" t="s">
        <v>3522</v>
      </c>
      <c r="C119" s="35"/>
      <c r="D119" s="34" t="s">
        <v>3523</v>
      </c>
      <c r="E119" s="34" t="s">
        <v>3524</v>
      </c>
      <c r="F119" s="34" t="s">
        <v>3181</v>
      </c>
      <c r="G119" s="34" t="s">
        <v>3525</v>
      </c>
      <c r="H119" s="34" t="s">
        <v>3526</v>
      </c>
      <c r="I119" s="33" t="s">
        <v>84</v>
      </c>
      <c r="J119" s="34" t="s">
        <v>3527</v>
      </c>
      <c r="K119" s="35"/>
      <c r="L119" s="34" t="s">
        <v>2970</v>
      </c>
      <c r="M119" s="35" t="s">
        <v>29</v>
      </c>
      <c r="N119" s="34" t="s">
        <v>3528</v>
      </c>
      <c r="O119" s="35" t="s">
        <v>816</v>
      </c>
      <c r="P119" s="35" t="s">
        <v>2629</v>
      </c>
    </row>
    <row r="120" spans="1:16" ht="13.2" customHeight="1" x14ac:dyDescent="0.25">
      <c r="A120" s="33">
        <v>118</v>
      </c>
      <c r="B120" s="34" t="s">
        <v>3529</v>
      </c>
      <c r="C120" s="35"/>
      <c r="D120" s="34" t="s">
        <v>3319</v>
      </c>
      <c r="E120" s="34" t="s">
        <v>3530</v>
      </c>
      <c r="F120" s="34" t="s">
        <v>3531</v>
      </c>
      <c r="G120" s="34" t="s">
        <v>2973</v>
      </c>
      <c r="H120" s="34" t="s">
        <v>3008</v>
      </c>
      <c r="I120" s="33">
        <v>5</v>
      </c>
      <c r="J120" s="34" t="s">
        <v>3532</v>
      </c>
      <c r="K120" s="35"/>
      <c r="L120" s="34" t="s">
        <v>2970</v>
      </c>
      <c r="M120" s="35" t="s">
        <v>29</v>
      </c>
      <c r="N120" s="34" t="s">
        <v>3533</v>
      </c>
      <c r="O120" s="35" t="s">
        <v>816</v>
      </c>
      <c r="P120" s="35" t="s">
        <v>2629</v>
      </c>
    </row>
    <row r="121" spans="1:16" ht="13.2" customHeight="1" x14ac:dyDescent="0.25">
      <c r="A121" s="33">
        <v>119</v>
      </c>
      <c r="B121" s="34" t="s">
        <v>3534</v>
      </c>
      <c r="C121" s="35"/>
      <c r="D121" s="34" t="s">
        <v>3535</v>
      </c>
      <c r="E121" s="34" t="s">
        <v>3536</v>
      </c>
      <c r="F121" s="34" t="s">
        <v>3537</v>
      </c>
      <c r="G121" s="34" t="s">
        <v>3538</v>
      </c>
      <c r="H121" s="34" t="s">
        <v>3539</v>
      </c>
      <c r="I121" s="33">
        <v>4</v>
      </c>
      <c r="J121" s="34" t="s">
        <v>3540</v>
      </c>
      <c r="K121" s="35"/>
      <c r="L121" s="34" t="s">
        <v>2987</v>
      </c>
      <c r="M121" s="35" t="s">
        <v>29</v>
      </c>
      <c r="N121" s="34" t="s">
        <v>3541</v>
      </c>
      <c r="O121" s="35" t="s">
        <v>816</v>
      </c>
      <c r="P121" s="35" t="s">
        <v>2629</v>
      </c>
    </row>
    <row r="122" spans="1:16" ht="13.2" customHeight="1" x14ac:dyDescent="0.25">
      <c r="A122" s="33">
        <v>120</v>
      </c>
      <c r="B122" s="34" t="s">
        <v>3542</v>
      </c>
      <c r="C122" s="35"/>
      <c r="D122" s="34" t="s">
        <v>3312</v>
      </c>
      <c r="E122" s="34" t="s">
        <v>3249</v>
      </c>
      <c r="F122" s="34" t="s">
        <v>3250</v>
      </c>
      <c r="G122" s="34" t="s">
        <v>3251</v>
      </c>
      <c r="H122" s="34" t="s">
        <v>3285</v>
      </c>
      <c r="I122" s="33" t="s">
        <v>84</v>
      </c>
      <c r="J122" s="34" t="s">
        <v>3543</v>
      </c>
      <c r="K122" s="35"/>
      <c r="L122" s="34" t="s">
        <v>2970</v>
      </c>
      <c r="M122" s="35" t="s">
        <v>29</v>
      </c>
      <c r="N122" s="34" t="s">
        <v>3544</v>
      </c>
      <c r="O122" s="35" t="s">
        <v>816</v>
      </c>
      <c r="P122" s="35" t="s">
        <v>2629</v>
      </c>
    </row>
    <row r="123" spans="1:16" ht="13.2" customHeight="1" x14ac:dyDescent="0.25">
      <c r="A123" s="33">
        <v>121</v>
      </c>
      <c r="B123" s="34" t="s">
        <v>3545</v>
      </c>
      <c r="C123" s="35"/>
      <c r="D123" s="34" t="s">
        <v>3546</v>
      </c>
      <c r="E123" s="34" t="s">
        <v>3547</v>
      </c>
      <c r="F123" s="34" t="s">
        <v>3548</v>
      </c>
      <c r="G123" s="34" t="s">
        <v>3549</v>
      </c>
      <c r="H123" s="34" t="s">
        <v>3550</v>
      </c>
      <c r="I123" s="33" t="s">
        <v>84</v>
      </c>
      <c r="J123" s="34" t="s">
        <v>3551</v>
      </c>
      <c r="K123" s="35"/>
      <c r="L123" s="34" t="s">
        <v>2970</v>
      </c>
      <c r="M123" s="35" t="s">
        <v>29</v>
      </c>
      <c r="N123" s="34" t="s">
        <v>3552</v>
      </c>
      <c r="O123" s="35" t="s">
        <v>816</v>
      </c>
      <c r="P123" s="35" t="s">
        <v>2629</v>
      </c>
    </row>
    <row r="124" spans="1:16" ht="13.2" customHeight="1" x14ac:dyDescent="0.25">
      <c r="A124" s="33">
        <v>122</v>
      </c>
      <c r="B124" s="34" t="s">
        <v>3553</v>
      </c>
      <c r="C124" s="35"/>
      <c r="D124" s="34" t="s">
        <v>3554</v>
      </c>
      <c r="E124" s="34" t="s">
        <v>3555</v>
      </c>
      <c r="F124" s="34" t="s">
        <v>3556</v>
      </c>
      <c r="G124" s="34" t="s">
        <v>3557</v>
      </c>
      <c r="H124" s="34" t="s">
        <v>3558</v>
      </c>
      <c r="I124" s="33">
        <v>1</v>
      </c>
      <c r="J124" s="34" t="s">
        <v>3559</v>
      </c>
      <c r="K124" s="35"/>
      <c r="L124" s="34" t="s">
        <v>2931</v>
      </c>
      <c r="M124" s="35" t="s">
        <v>29</v>
      </c>
      <c r="N124" s="34" t="s">
        <v>3560</v>
      </c>
      <c r="O124" s="35" t="s">
        <v>164</v>
      </c>
      <c r="P124" s="35" t="s">
        <v>3561</v>
      </c>
    </row>
    <row r="125" spans="1:16" ht="13.2" customHeight="1" x14ac:dyDescent="0.25">
      <c r="A125" s="33">
        <v>123</v>
      </c>
      <c r="B125" s="34" t="s">
        <v>3562</v>
      </c>
      <c r="C125" s="35"/>
      <c r="D125" s="34" t="s">
        <v>3563</v>
      </c>
      <c r="E125" s="34" t="s">
        <v>426</v>
      </c>
      <c r="F125" s="34" t="s">
        <v>3212</v>
      </c>
      <c r="G125" s="34" t="s">
        <v>3564</v>
      </c>
      <c r="H125" s="34" t="s">
        <v>3565</v>
      </c>
      <c r="I125" s="33">
        <v>1</v>
      </c>
      <c r="J125" s="34" t="s">
        <v>3566</v>
      </c>
      <c r="K125" s="35"/>
      <c r="L125" s="34" t="s">
        <v>3170</v>
      </c>
      <c r="M125" s="35" t="s">
        <v>29</v>
      </c>
      <c r="N125" s="34" t="s">
        <v>3567</v>
      </c>
      <c r="O125" s="35" t="s">
        <v>164</v>
      </c>
      <c r="P125" s="35" t="s">
        <v>3561</v>
      </c>
    </row>
    <row r="126" spans="1:16" ht="13.2" customHeight="1" x14ac:dyDescent="0.25">
      <c r="A126" s="33">
        <v>124</v>
      </c>
      <c r="B126" s="34" t="s">
        <v>3568</v>
      </c>
      <c r="C126" s="35"/>
      <c r="D126" s="34" t="s">
        <v>3569</v>
      </c>
      <c r="E126" s="34" t="s">
        <v>3570</v>
      </c>
      <c r="F126" s="34" t="s">
        <v>3571</v>
      </c>
      <c r="G126" s="34" t="s">
        <v>3572</v>
      </c>
      <c r="H126" s="34" t="s">
        <v>3573</v>
      </c>
      <c r="I126" s="33" t="s">
        <v>84</v>
      </c>
      <c r="J126" s="34" t="s">
        <v>3574</v>
      </c>
      <c r="K126" s="35"/>
      <c r="L126" s="34" t="s">
        <v>2970</v>
      </c>
      <c r="M126" s="35" t="s">
        <v>29</v>
      </c>
      <c r="N126" s="34" t="s">
        <v>3575</v>
      </c>
      <c r="O126" s="35" t="s">
        <v>164</v>
      </c>
      <c r="P126" s="35" t="s">
        <v>2706</v>
      </c>
    </row>
    <row r="127" spans="1:16" ht="13.2" customHeight="1" x14ac:dyDescent="0.25">
      <c r="A127" s="33">
        <v>125</v>
      </c>
      <c r="B127" s="34" t="s">
        <v>3576</v>
      </c>
      <c r="C127" s="35"/>
      <c r="D127" s="34" t="s">
        <v>3050</v>
      </c>
      <c r="E127" s="34" t="s">
        <v>3150</v>
      </c>
      <c r="F127" s="34" t="s">
        <v>3577</v>
      </c>
      <c r="G127" s="34" t="s">
        <v>3578</v>
      </c>
      <c r="H127" s="34" t="s">
        <v>3579</v>
      </c>
      <c r="I127" s="33" t="s">
        <v>84</v>
      </c>
      <c r="J127" s="34" t="s">
        <v>3580</v>
      </c>
      <c r="K127" s="35"/>
      <c r="L127" s="34" t="s">
        <v>2970</v>
      </c>
      <c r="M127" s="35" t="s">
        <v>29</v>
      </c>
      <c r="N127" s="34" t="s">
        <v>3581</v>
      </c>
      <c r="O127" s="35" t="s">
        <v>164</v>
      </c>
      <c r="P127" s="35" t="s">
        <v>2706</v>
      </c>
    </row>
    <row r="128" spans="1:16" ht="13.2" customHeight="1" x14ac:dyDescent="0.25">
      <c r="A128" s="33">
        <v>126</v>
      </c>
      <c r="B128" s="34" t="s">
        <v>3582</v>
      </c>
      <c r="C128" s="35"/>
      <c r="D128" s="34" t="s">
        <v>3583</v>
      </c>
      <c r="E128" s="34" t="s">
        <v>3584</v>
      </c>
      <c r="F128" s="34" t="s">
        <v>3585</v>
      </c>
      <c r="G128" s="34" t="s">
        <v>3414</v>
      </c>
      <c r="H128" s="34" t="s">
        <v>3586</v>
      </c>
      <c r="I128" s="33" t="s">
        <v>84</v>
      </c>
      <c r="J128" s="34" t="s">
        <v>3587</v>
      </c>
      <c r="K128" s="35"/>
      <c r="L128" s="34" t="s">
        <v>2970</v>
      </c>
      <c r="M128" s="35" t="s">
        <v>29</v>
      </c>
      <c r="N128" s="34" t="s">
        <v>3588</v>
      </c>
      <c r="O128" s="35" t="s">
        <v>164</v>
      </c>
      <c r="P128" s="35" t="s">
        <v>2706</v>
      </c>
    </row>
    <row r="129" spans="1:16" ht="13.2" customHeight="1" x14ac:dyDescent="0.25">
      <c r="A129" s="33">
        <v>127</v>
      </c>
      <c r="B129" s="34" t="s">
        <v>3589</v>
      </c>
      <c r="C129" s="35"/>
      <c r="D129" s="34" t="s">
        <v>3590</v>
      </c>
      <c r="E129" s="34" t="s">
        <v>3414</v>
      </c>
      <c r="F129" s="34" t="s">
        <v>3591</v>
      </c>
      <c r="G129" s="34" t="s">
        <v>3592</v>
      </c>
      <c r="H129" s="34" t="s">
        <v>3593</v>
      </c>
      <c r="I129" s="33">
        <v>1</v>
      </c>
      <c r="J129" s="34" t="s">
        <v>3594</v>
      </c>
      <c r="K129" s="35"/>
      <c r="L129" s="34" t="s">
        <v>2719</v>
      </c>
      <c r="M129" s="35" t="s">
        <v>29</v>
      </c>
      <c r="N129" s="34" t="s">
        <v>3595</v>
      </c>
      <c r="O129" s="35" t="s">
        <v>164</v>
      </c>
      <c r="P129" s="35" t="s">
        <v>2706</v>
      </c>
    </row>
    <row r="130" spans="1:16" ht="13.2" customHeight="1" x14ac:dyDescent="0.25">
      <c r="A130" s="33">
        <v>128</v>
      </c>
      <c r="B130" s="34" t="s">
        <v>3596</v>
      </c>
      <c r="C130" s="35"/>
      <c r="D130" s="34" t="s">
        <v>3597</v>
      </c>
      <c r="E130" s="34" t="s">
        <v>3598</v>
      </c>
      <c r="F130" s="34" t="s">
        <v>3599</v>
      </c>
      <c r="G130" s="34" t="s">
        <v>3600</v>
      </c>
      <c r="H130" s="34" t="s">
        <v>3601</v>
      </c>
      <c r="I130" s="33">
        <v>1</v>
      </c>
      <c r="J130" s="34" t="s">
        <v>3602</v>
      </c>
      <c r="K130" s="35"/>
      <c r="L130" s="34" t="s">
        <v>3346</v>
      </c>
      <c r="M130" s="35" t="s">
        <v>29</v>
      </c>
      <c r="N130" s="34" t="s">
        <v>3603</v>
      </c>
      <c r="O130" s="35" t="s">
        <v>164</v>
      </c>
      <c r="P130" s="35" t="s">
        <v>2706</v>
      </c>
    </row>
    <row r="131" spans="1:16" ht="13.2" customHeight="1" x14ac:dyDescent="0.25">
      <c r="A131" s="33">
        <v>129</v>
      </c>
      <c r="B131" s="34" t="s">
        <v>3604</v>
      </c>
      <c r="C131" s="35"/>
      <c r="D131" s="34" t="s">
        <v>3311</v>
      </c>
      <c r="E131" s="34" t="s">
        <v>3312</v>
      </c>
      <c r="F131" s="34" t="s">
        <v>3249</v>
      </c>
      <c r="G131" s="34" t="s">
        <v>3250</v>
      </c>
      <c r="H131" s="34" t="s">
        <v>3251</v>
      </c>
      <c r="I131" s="33" t="s">
        <v>84</v>
      </c>
      <c r="J131" s="34" t="s">
        <v>3605</v>
      </c>
      <c r="K131" s="35"/>
      <c r="L131" s="34" t="s">
        <v>2970</v>
      </c>
      <c r="M131" s="35" t="s">
        <v>29</v>
      </c>
      <c r="N131" s="34" t="s">
        <v>3606</v>
      </c>
      <c r="O131" s="35" t="s">
        <v>164</v>
      </c>
      <c r="P131" s="35" t="s">
        <v>2707</v>
      </c>
    </row>
    <row r="132" spans="1:16" ht="13.2" customHeight="1" x14ac:dyDescent="0.25">
      <c r="A132" s="33">
        <v>130</v>
      </c>
      <c r="B132" s="34" t="s">
        <v>3607</v>
      </c>
      <c r="C132" s="35"/>
      <c r="D132" s="34" t="s">
        <v>3608</v>
      </c>
      <c r="E132" s="34" t="s">
        <v>3609</v>
      </c>
      <c r="F132" s="34" t="s">
        <v>3610</v>
      </c>
      <c r="G132" s="34" t="s">
        <v>3611</v>
      </c>
      <c r="H132" s="34" t="s">
        <v>3612</v>
      </c>
      <c r="I132" s="33">
        <v>3</v>
      </c>
      <c r="J132" s="34" t="s">
        <v>3613</v>
      </c>
      <c r="K132" s="35"/>
      <c r="L132" s="34" t="s">
        <v>2931</v>
      </c>
      <c r="M132" s="35" t="s">
        <v>29</v>
      </c>
      <c r="N132" s="34" t="s">
        <v>3606</v>
      </c>
      <c r="O132" s="35" t="s">
        <v>164</v>
      </c>
      <c r="P132" s="35" t="s">
        <v>2707</v>
      </c>
    </row>
    <row r="133" spans="1:16" ht="13.2" customHeight="1" x14ac:dyDescent="0.25">
      <c r="A133" s="33">
        <v>131</v>
      </c>
      <c r="B133" s="34" t="s">
        <v>3614</v>
      </c>
      <c r="C133" s="35"/>
      <c r="D133" s="34" t="s">
        <v>3615</v>
      </c>
      <c r="E133" s="34" t="s">
        <v>3616</v>
      </c>
      <c r="F133" s="34" t="s">
        <v>3617</v>
      </c>
      <c r="G133" s="34" t="s">
        <v>3618</v>
      </c>
      <c r="H133" s="34" t="s">
        <v>3619</v>
      </c>
      <c r="I133" s="33">
        <v>1</v>
      </c>
      <c r="J133" s="34" t="s">
        <v>3620</v>
      </c>
      <c r="K133" s="35"/>
      <c r="L133" s="34" t="s">
        <v>2931</v>
      </c>
      <c r="M133" s="35" t="s">
        <v>29</v>
      </c>
      <c r="N133" s="34" t="s">
        <v>3621</v>
      </c>
      <c r="O133" s="35" t="s">
        <v>164</v>
      </c>
      <c r="P133" s="35" t="s">
        <v>2707</v>
      </c>
    </row>
    <row r="134" spans="1:16" ht="13.2" customHeight="1" x14ac:dyDescent="0.25">
      <c r="A134" s="33">
        <v>132</v>
      </c>
      <c r="B134" s="34" t="s">
        <v>3622</v>
      </c>
      <c r="C134" s="35"/>
      <c r="D134" s="34" t="s">
        <v>3623</v>
      </c>
      <c r="E134" s="34" t="s">
        <v>3624</v>
      </c>
      <c r="F134" s="34" t="s">
        <v>3625</v>
      </c>
      <c r="G134" s="34" t="s">
        <v>3626</v>
      </c>
      <c r="H134" s="34" t="s">
        <v>3050</v>
      </c>
      <c r="I134" s="33">
        <v>1</v>
      </c>
      <c r="J134" s="34" t="s">
        <v>3627</v>
      </c>
      <c r="K134" s="35"/>
      <c r="L134" s="34" t="s">
        <v>3628</v>
      </c>
      <c r="M134" s="35" t="s">
        <v>29</v>
      </c>
      <c r="N134" s="34" t="s">
        <v>3606</v>
      </c>
      <c r="O134" s="35" t="s">
        <v>164</v>
      </c>
      <c r="P134" s="35" t="s">
        <v>2707</v>
      </c>
    </row>
    <row r="135" spans="1:16" ht="13.2" customHeight="1" x14ac:dyDescent="0.25">
      <c r="A135" s="33">
        <v>133</v>
      </c>
      <c r="B135" s="34" t="s">
        <v>3629</v>
      </c>
      <c r="C135" s="35"/>
      <c r="D135" s="34" t="s">
        <v>3630</v>
      </c>
      <c r="E135" s="34" t="s">
        <v>3008</v>
      </c>
      <c r="F135" s="34" t="s">
        <v>3631</v>
      </c>
      <c r="G135" s="34" t="s">
        <v>3317</v>
      </c>
      <c r="H135" s="34" t="s">
        <v>3632</v>
      </c>
      <c r="I135" s="33">
        <v>3</v>
      </c>
      <c r="J135" s="34" t="s">
        <v>3633</v>
      </c>
      <c r="K135" s="35"/>
      <c r="L135" s="34" t="s">
        <v>3628</v>
      </c>
      <c r="M135" s="35" t="s">
        <v>29</v>
      </c>
      <c r="N135" s="34" t="s">
        <v>3634</v>
      </c>
      <c r="O135" s="35" t="s">
        <v>164</v>
      </c>
      <c r="P135" s="35" t="s">
        <v>2707</v>
      </c>
    </row>
    <row r="136" spans="1:16" ht="13.2" customHeight="1" x14ac:dyDescent="0.25">
      <c r="A136" s="33">
        <v>134</v>
      </c>
      <c r="B136" s="34" t="s">
        <v>3635</v>
      </c>
      <c r="C136" s="35"/>
      <c r="D136" s="34" t="s">
        <v>3636</v>
      </c>
      <c r="E136" s="34" t="s">
        <v>3637</v>
      </c>
      <c r="F136" s="34" t="s">
        <v>3638</v>
      </c>
      <c r="G136" s="34" t="s">
        <v>3639</v>
      </c>
      <c r="H136" s="34" t="s">
        <v>3640</v>
      </c>
      <c r="I136" s="33">
        <v>2</v>
      </c>
      <c r="J136" s="34" t="s">
        <v>3641</v>
      </c>
      <c r="K136" s="35"/>
      <c r="L136" s="34" t="s">
        <v>3628</v>
      </c>
      <c r="M136" s="35" t="s">
        <v>29</v>
      </c>
      <c r="N136" s="34" t="s">
        <v>3642</v>
      </c>
      <c r="O136" s="35" t="s">
        <v>164</v>
      </c>
      <c r="P136" s="35" t="s">
        <v>2707</v>
      </c>
    </row>
    <row r="137" spans="1:16" ht="13.2" customHeight="1" x14ac:dyDescent="0.25">
      <c r="A137" s="33">
        <v>135</v>
      </c>
      <c r="B137" s="34" t="s">
        <v>3643</v>
      </c>
      <c r="C137" s="35"/>
      <c r="D137" s="34" t="s">
        <v>3644</v>
      </c>
      <c r="E137" s="34" t="s">
        <v>3645</v>
      </c>
      <c r="F137" s="34" t="s">
        <v>3646</v>
      </c>
      <c r="G137" s="34" t="s">
        <v>3647</v>
      </c>
      <c r="H137" s="34" t="s">
        <v>3648</v>
      </c>
      <c r="I137" s="33">
        <v>1</v>
      </c>
      <c r="J137" s="34" t="s">
        <v>3649</v>
      </c>
      <c r="K137" s="35"/>
      <c r="L137" s="34" t="s">
        <v>3628</v>
      </c>
      <c r="M137" s="35" t="s">
        <v>29</v>
      </c>
      <c r="N137" s="34" t="s">
        <v>3650</v>
      </c>
      <c r="O137" s="35" t="s">
        <v>164</v>
      </c>
      <c r="P137" s="35" t="s">
        <v>2707</v>
      </c>
    </row>
    <row r="138" spans="1:16" ht="13.2" customHeight="1" x14ac:dyDescent="0.25">
      <c r="A138" s="33">
        <v>136</v>
      </c>
      <c r="B138" s="34" t="s">
        <v>3651</v>
      </c>
      <c r="C138" s="35"/>
      <c r="D138" s="34" t="s">
        <v>3652</v>
      </c>
      <c r="E138" s="34" t="s">
        <v>3653</v>
      </c>
      <c r="F138" s="34" t="s">
        <v>3654</v>
      </c>
      <c r="G138" s="34" t="s">
        <v>3655</v>
      </c>
      <c r="H138" s="34" t="s">
        <v>3656</v>
      </c>
      <c r="I138" s="33">
        <v>2</v>
      </c>
      <c r="J138" s="34" t="s">
        <v>3657</v>
      </c>
      <c r="K138" s="35"/>
      <c r="L138" s="34" t="s">
        <v>3658</v>
      </c>
      <c r="M138" s="35" t="s">
        <v>29</v>
      </c>
      <c r="N138" s="34" t="s">
        <v>3659</v>
      </c>
      <c r="O138" s="35" t="s">
        <v>164</v>
      </c>
      <c r="P138" s="35" t="s">
        <v>2707</v>
      </c>
    </row>
    <row r="139" spans="1:16" ht="13.2" customHeight="1" x14ac:dyDescent="0.25">
      <c r="A139" s="33">
        <v>137</v>
      </c>
      <c r="B139" s="34" t="s">
        <v>3660</v>
      </c>
      <c r="C139" s="35"/>
      <c r="D139" s="34" t="s">
        <v>3615</v>
      </c>
      <c r="E139" s="34" t="s">
        <v>3616</v>
      </c>
      <c r="F139" s="34" t="s">
        <v>3617</v>
      </c>
      <c r="G139" s="34" t="s">
        <v>3661</v>
      </c>
      <c r="H139" s="34" t="s">
        <v>3662</v>
      </c>
      <c r="I139" s="33">
        <v>1</v>
      </c>
      <c r="J139" s="34" t="s">
        <v>3663</v>
      </c>
      <c r="K139" s="35"/>
      <c r="L139" s="34" t="s">
        <v>2931</v>
      </c>
      <c r="M139" s="35" t="s">
        <v>29</v>
      </c>
      <c r="N139" s="34" t="s">
        <v>3664</v>
      </c>
      <c r="O139" s="35" t="s">
        <v>164</v>
      </c>
      <c r="P139" s="35" t="s">
        <v>2707</v>
      </c>
    </row>
    <row r="140" spans="1:16" ht="13.2" customHeight="1" x14ac:dyDescent="0.25">
      <c r="A140" s="33">
        <v>138</v>
      </c>
      <c r="B140" s="34" t="s">
        <v>3665</v>
      </c>
      <c r="C140" s="35"/>
      <c r="D140" s="34" t="s">
        <v>3359</v>
      </c>
      <c r="E140" s="34" t="s">
        <v>3311</v>
      </c>
      <c r="F140" s="34" t="s">
        <v>3312</v>
      </c>
      <c r="G140" s="34" t="s">
        <v>3249</v>
      </c>
      <c r="H140" s="34" t="s">
        <v>3250</v>
      </c>
      <c r="I140" s="33" t="s">
        <v>84</v>
      </c>
      <c r="J140" s="34" t="s">
        <v>3666</v>
      </c>
      <c r="K140" s="35"/>
      <c r="L140" s="34" t="s">
        <v>2970</v>
      </c>
      <c r="M140" s="35" t="s">
        <v>29</v>
      </c>
      <c r="N140" s="34" t="s">
        <v>3606</v>
      </c>
      <c r="O140" s="35" t="s">
        <v>164</v>
      </c>
      <c r="P140" s="35" t="s">
        <v>2707</v>
      </c>
    </row>
    <row r="141" spans="1:16" ht="13.2" customHeight="1" x14ac:dyDescent="0.25">
      <c r="A141" s="33">
        <v>139</v>
      </c>
      <c r="B141" s="34" t="s">
        <v>3667</v>
      </c>
      <c r="C141" s="35"/>
      <c r="D141" s="34" t="s">
        <v>3668</v>
      </c>
      <c r="E141" s="34" t="s">
        <v>3669</v>
      </c>
      <c r="F141" s="34" t="s">
        <v>3670</v>
      </c>
      <c r="G141" s="34" t="s">
        <v>3671</v>
      </c>
      <c r="H141" s="34" t="s">
        <v>3672</v>
      </c>
      <c r="I141" s="33">
        <v>5</v>
      </c>
      <c r="J141" s="34" t="s">
        <v>3673</v>
      </c>
      <c r="K141" s="35"/>
      <c r="L141" s="34" t="s">
        <v>3628</v>
      </c>
      <c r="M141" s="35" t="s">
        <v>29</v>
      </c>
      <c r="N141" s="34" t="s">
        <v>3621</v>
      </c>
      <c r="O141" s="35" t="s">
        <v>164</v>
      </c>
      <c r="P141" s="35" t="s">
        <v>2707</v>
      </c>
    </row>
    <row r="142" spans="1:16" ht="13.2" customHeight="1" x14ac:dyDescent="0.25">
      <c r="A142" s="33">
        <v>140</v>
      </c>
      <c r="B142" s="34" t="s">
        <v>3674</v>
      </c>
      <c r="C142" s="35"/>
      <c r="D142" s="34" t="s">
        <v>3675</v>
      </c>
      <c r="E142" s="34" t="s">
        <v>3676</v>
      </c>
      <c r="F142" s="34" t="s">
        <v>3677</v>
      </c>
      <c r="G142" s="34" t="s">
        <v>3678</v>
      </c>
      <c r="H142" s="34" t="s">
        <v>3679</v>
      </c>
      <c r="I142" s="33">
        <v>1</v>
      </c>
      <c r="J142" s="34" t="s">
        <v>3680</v>
      </c>
      <c r="K142" s="35"/>
      <c r="L142" s="34" t="s">
        <v>2719</v>
      </c>
      <c r="M142" s="35" t="s">
        <v>29</v>
      </c>
      <c r="N142" s="34" t="s">
        <v>3681</v>
      </c>
      <c r="O142" s="35" t="s">
        <v>164</v>
      </c>
      <c r="P142" s="35" t="s">
        <v>2709</v>
      </c>
    </row>
    <row r="143" spans="1:16" ht="13.2" customHeight="1" x14ac:dyDescent="0.25">
      <c r="A143" s="33">
        <v>141</v>
      </c>
      <c r="B143" s="34" t="s">
        <v>3682</v>
      </c>
      <c r="C143" s="35"/>
      <c r="D143" s="34" t="s">
        <v>3683</v>
      </c>
      <c r="E143" s="34" t="s">
        <v>3684</v>
      </c>
      <c r="F143" s="34" t="s">
        <v>3685</v>
      </c>
      <c r="G143" s="34" t="s">
        <v>3686</v>
      </c>
      <c r="H143" s="34" t="s">
        <v>3687</v>
      </c>
      <c r="I143" s="33">
        <v>1</v>
      </c>
      <c r="J143" s="34" t="s">
        <v>3688</v>
      </c>
      <c r="K143" s="35"/>
      <c r="L143" s="34" t="s">
        <v>2719</v>
      </c>
      <c r="M143" s="35" t="s">
        <v>29</v>
      </c>
      <c r="N143" s="34" t="s">
        <v>3689</v>
      </c>
      <c r="O143" s="35" t="s">
        <v>164</v>
      </c>
      <c r="P143" s="35" t="s">
        <v>2709</v>
      </c>
    </row>
    <row r="144" spans="1:16" ht="13.2" customHeight="1" x14ac:dyDescent="0.25">
      <c r="A144" s="33">
        <v>142</v>
      </c>
      <c r="B144" s="34" t="s">
        <v>3690</v>
      </c>
      <c r="C144" s="35"/>
      <c r="D144" s="34" t="s">
        <v>3691</v>
      </c>
      <c r="E144" s="34" t="s">
        <v>3692</v>
      </c>
      <c r="F144" s="34" t="s">
        <v>3693</v>
      </c>
      <c r="G144" s="34" t="s">
        <v>3694</v>
      </c>
      <c r="H144" s="34" t="s">
        <v>3695</v>
      </c>
      <c r="I144" s="33">
        <v>1</v>
      </c>
      <c r="J144" s="34" t="s">
        <v>3696</v>
      </c>
      <c r="K144" s="35"/>
      <c r="L144" s="34" t="s">
        <v>2719</v>
      </c>
      <c r="M144" s="35" t="s">
        <v>29</v>
      </c>
      <c r="N144" s="34" t="s">
        <v>3689</v>
      </c>
      <c r="O144" s="35" t="s">
        <v>164</v>
      </c>
      <c r="P144" s="35" t="s">
        <v>2709</v>
      </c>
    </row>
    <row r="145" spans="1:16" ht="13.2" customHeight="1" x14ac:dyDescent="0.25">
      <c r="A145" s="33">
        <v>143</v>
      </c>
      <c r="B145" s="34" t="s">
        <v>3697</v>
      </c>
      <c r="C145" s="35"/>
      <c r="D145" s="34" t="s">
        <v>3311</v>
      </c>
      <c r="E145" s="34" t="s">
        <v>3312</v>
      </c>
      <c r="F145" s="34" t="s">
        <v>3249</v>
      </c>
      <c r="G145" s="34" t="s">
        <v>3250</v>
      </c>
      <c r="H145" s="34" t="s">
        <v>3251</v>
      </c>
      <c r="I145" s="33" t="s">
        <v>84</v>
      </c>
      <c r="J145" s="34" t="s">
        <v>3698</v>
      </c>
      <c r="K145" s="35"/>
      <c r="L145" s="34" t="s">
        <v>2719</v>
      </c>
      <c r="M145" s="35" t="s">
        <v>29</v>
      </c>
      <c r="N145" s="34" t="s">
        <v>3699</v>
      </c>
      <c r="O145" s="35" t="s">
        <v>164</v>
      </c>
      <c r="P145" s="35" t="s">
        <v>2709</v>
      </c>
    </row>
    <row r="146" spans="1:16" ht="13.2" customHeight="1" x14ac:dyDescent="0.25">
      <c r="A146" s="33">
        <v>144</v>
      </c>
      <c r="B146" s="34" t="s">
        <v>3700</v>
      </c>
      <c r="C146" s="35"/>
      <c r="D146" s="34" t="s">
        <v>3250</v>
      </c>
      <c r="E146" s="34" t="s">
        <v>3251</v>
      </c>
      <c r="F146" s="34" t="s">
        <v>3285</v>
      </c>
      <c r="G146" s="34" t="s">
        <v>3305</v>
      </c>
      <c r="H146" s="34" t="s">
        <v>3242</v>
      </c>
      <c r="I146" s="33" t="s">
        <v>84</v>
      </c>
      <c r="J146" s="34" t="s">
        <v>3701</v>
      </c>
      <c r="K146" s="35"/>
      <c r="L146" s="34" t="s">
        <v>2719</v>
      </c>
      <c r="M146" s="35" t="s">
        <v>29</v>
      </c>
      <c r="N146" s="34" t="s">
        <v>3681</v>
      </c>
      <c r="O146" s="35" t="s">
        <v>164</v>
      </c>
      <c r="P146" s="35" t="s">
        <v>2709</v>
      </c>
    </row>
    <row r="147" spans="1:16" ht="13.2" customHeight="1" x14ac:dyDescent="0.25">
      <c r="A147" s="33">
        <v>145</v>
      </c>
      <c r="B147" s="34" t="s">
        <v>3702</v>
      </c>
      <c r="C147" s="35"/>
      <c r="D147" s="34" t="s">
        <v>3703</v>
      </c>
      <c r="E147" s="34" t="s">
        <v>3704</v>
      </c>
      <c r="F147" s="34" t="s">
        <v>3705</v>
      </c>
      <c r="G147" s="34" t="s">
        <v>3706</v>
      </c>
      <c r="H147" s="34" t="s">
        <v>3707</v>
      </c>
      <c r="I147" s="33">
        <v>3</v>
      </c>
      <c r="J147" s="34" t="s">
        <v>3708</v>
      </c>
      <c r="K147" s="35"/>
      <c r="L147" s="34" t="s">
        <v>2719</v>
      </c>
      <c r="M147" s="35" t="s">
        <v>29</v>
      </c>
      <c r="N147" s="34" t="s">
        <v>2548</v>
      </c>
      <c r="O147" s="35" t="s">
        <v>816</v>
      </c>
      <c r="P147" s="35" t="s">
        <v>2710</v>
      </c>
    </row>
    <row r="148" spans="1:16" ht="13.2" customHeight="1" x14ac:dyDescent="0.25">
      <c r="A148" s="33">
        <v>146</v>
      </c>
      <c r="B148" s="34" t="s">
        <v>3709</v>
      </c>
      <c r="C148" s="35"/>
      <c r="D148" s="34" t="s">
        <v>3710</v>
      </c>
      <c r="E148" s="34" t="s">
        <v>3711</v>
      </c>
      <c r="F148" s="34" t="s">
        <v>3712</v>
      </c>
      <c r="G148" s="34" t="s">
        <v>3713</v>
      </c>
      <c r="H148" s="34" t="s">
        <v>3714</v>
      </c>
      <c r="I148" s="33" t="s">
        <v>84</v>
      </c>
      <c r="J148" s="34" t="s">
        <v>3715</v>
      </c>
      <c r="K148" s="35"/>
      <c r="L148" s="34" t="s">
        <v>2970</v>
      </c>
      <c r="M148" s="35" t="s">
        <v>29</v>
      </c>
      <c r="N148" s="34" t="s">
        <v>3716</v>
      </c>
      <c r="O148" s="35" t="s">
        <v>816</v>
      </c>
      <c r="P148" s="35" t="s">
        <v>2710</v>
      </c>
    </row>
    <row r="149" spans="1:16" ht="13.2" customHeight="1" x14ac:dyDescent="0.25">
      <c r="A149" s="33">
        <v>147</v>
      </c>
      <c r="B149" s="34" t="s">
        <v>3717</v>
      </c>
      <c r="C149" s="35"/>
      <c r="D149" s="34" t="s">
        <v>3718</v>
      </c>
      <c r="E149" s="34" t="s">
        <v>3719</v>
      </c>
      <c r="F149" s="34" t="s">
        <v>3720</v>
      </c>
      <c r="G149" s="34" t="s">
        <v>3721</v>
      </c>
      <c r="H149" s="34" t="s">
        <v>3722</v>
      </c>
      <c r="I149" s="33" t="s">
        <v>84</v>
      </c>
      <c r="J149" s="34" t="s">
        <v>3723</v>
      </c>
      <c r="K149" s="35"/>
      <c r="L149" s="34" t="s">
        <v>2970</v>
      </c>
      <c r="M149" s="35" t="s">
        <v>29</v>
      </c>
      <c r="N149" s="34" t="s">
        <v>3724</v>
      </c>
      <c r="O149" s="35" t="s">
        <v>816</v>
      </c>
      <c r="P149" s="35" t="s">
        <v>2710</v>
      </c>
    </row>
    <row r="150" spans="1:16" ht="13.2" customHeight="1" x14ac:dyDescent="0.25">
      <c r="A150" s="33">
        <v>148</v>
      </c>
      <c r="B150" s="34" t="s">
        <v>3725</v>
      </c>
      <c r="C150" s="35"/>
      <c r="D150" s="34" t="s">
        <v>3726</v>
      </c>
      <c r="E150" s="34" t="s">
        <v>3727</v>
      </c>
      <c r="F150" s="34" t="s">
        <v>3728</v>
      </c>
      <c r="G150" s="34" t="s">
        <v>3729</v>
      </c>
      <c r="H150" s="34" t="s">
        <v>3730</v>
      </c>
      <c r="I150" s="33">
        <v>1</v>
      </c>
      <c r="J150" s="34" t="s">
        <v>3731</v>
      </c>
      <c r="K150" s="35"/>
      <c r="L150" s="34" t="s">
        <v>3732</v>
      </c>
      <c r="M150" s="35" t="s">
        <v>29</v>
      </c>
      <c r="N150" s="34" t="s">
        <v>3733</v>
      </c>
      <c r="O150" s="35" t="s">
        <v>816</v>
      </c>
      <c r="P150" s="35" t="s">
        <v>2710</v>
      </c>
    </row>
    <row r="151" spans="1:16" ht="13.2" customHeight="1" x14ac:dyDescent="0.25">
      <c r="A151" s="33">
        <v>149</v>
      </c>
      <c r="B151" s="34" t="s">
        <v>3734</v>
      </c>
      <c r="C151" s="35"/>
      <c r="D151" s="34" t="s">
        <v>3251</v>
      </c>
      <c r="E151" s="34" t="s">
        <v>3285</v>
      </c>
      <c r="F151" s="34" t="s">
        <v>3305</v>
      </c>
      <c r="G151" s="34" t="s">
        <v>3242</v>
      </c>
      <c r="H151" s="34" t="s">
        <v>3244</v>
      </c>
      <c r="I151" s="33" t="s">
        <v>84</v>
      </c>
      <c r="J151" s="34" t="s">
        <v>3735</v>
      </c>
      <c r="K151" s="35"/>
      <c r="L151" s="34" t="s">
        <v>2970</v>
      </c>
      <c r="M151" s="35" t="s">
        <v>29</v>
      </c>
      <c r="N151" s="34" t="s">
        <v>2548</v>
      </c>
      <c r="O151" s="35" t="s">
        <v>816</v>
      </c>
      <c r="P151" s="35" t="s">
        <v>2710</v>
      </c>
    </row>
    <row r="152" spans="1:16" ht="13.2" customHeight="1" x14ac:dyDescent="0.25">
      <c r="A152" s="33">
        <v>150</v>
      </c>
      <c r="B152" s="34" t="s">
        <v>3736</v>
      </c>
      <c r="C152" s="35"/>
      <c r="D152" s="34" t="s">
        <v>3050</v>
      </c>
      <c r="E152" s="34" t="s">
        <v>3737</v>
      </c>
      <c r="F152" s="34" t="s">
        <v>3051</v>
      </c>
      <c r="G152" s="34" t="s">
        <v>3052</v>
      </c>
      <c r="H152" s="34" t="s">
        <v>3738</v>
      </c>
      <c r="I152" s="33">
        <v>3</v>
      </c>
      <c r="J152" s="34" t="s">
        <v>3739</v>
      </c>
      <c r="K152" s="35"/>
      <c r="L152" s="34" t="s">
        <v>2987</v>
      </c>
      <c r="M152" s="35" t="s">
        <v>29</v>
      </c>
      <c r="N152" s="34" t="s">
        <v>2537</v>
      </c>
      <c r="O152" s="35" t="s">
        <v>816</v>
      </c>
      <c r="P152" s="35" t="s">
        <v>2710</v>
      </c>
    </row>
    <row r="153" spans="1:16" ht="13.2" customHeight="1" x14ac:dyDescent="0.25">
      <c r="A153" s="33">
        <v>151</v>
      </c>
      <c r="B153" s="34" t="s">
        <v>3740</v>
      </c>
      <c r="C153" s="35"/>
      <c r="D153" s="34" t="s">
        <v>3741</v>
      </c>
      <c r="E153" s="34" t="s">
        <v>3742</v>
      </c>
      <c r="F153" s="34" t="s">
        <v>3743</v>
      </c>
      <c r="G153" s="34" t="s">
        <v>3744</v>
      </c>
      <c r="H153" s="34" t="s">
        <v>3745</v>
      </c>
      <c r="I153" s="33">
        <v>1</v>
      </c>
      <c r="J153" s="34" t="s">
        <v>3746</v>
      </c>
      <c r="K153" s="35"/>
      <c r="L153" s="34" t="s">
        <v>2987</v>
      </c>
      <c r="M153" s="35" t="s">
        <v>29</v>
      </c>
      <c r="N153" s="34" t="s">
        <v>2575</v>
      </c>
      <c r="O153" s="35" t="s">
        <v>816</v>
      </c>
      <c r="P153" s="35" t="s">
        <v>2710</v>
      </c>
    </row>
    <row r="154" spans="1:16" ht="13.2" customHeight="1" x14ac:dyDescent="0.25">
      <c r="A154" s="33">
        <v>152</v>
      </c>
      <c r="B154" s="34" t="s">
        <v>3747</v>
      </c>
      <c r="C154" s="35"/>
      <c r="D154" s="34" t="s">
        <v>3748</v>
      </c>
      <c r="E154" s="34" t="s">
        <v>3749</v>
      </c>
      <c r="F154" s="34" t="s">
        <v>3750</v>
      </c>
      <c r="G154" s="34" t="s">
        <v>3751</v>
      </c>
      <c r="H154" s="34" t="s">
        <v>3752</v>
      </c>
      <c r="I154" s="33" t="s">
        <v>84</v>
      </c>
      <c r="J154" s="34" t="s">
        <v>3753</v>
      </c>
      <c r="K154" s="35"/>
      <c r="L154" s="34" t="s">
        <v>2970</v>
      </c>
      <c r="M154" s="35" t="s">
        <v>29</v>
      </c>
      <c r="N154" s="34" t="s">
        <v>3754</v>
      </c>
      <c r="O154" s="35" t="s">
        <v>816</v>
      </c>
      <c r="P154" s="35" t="s">
        <v>2710</v>
      </c>
    </row>
    <row r="155" spans="1:16" ht="13.2" customHeight="1" x14ac:dyDescent="0.25">
      <c r="A155" s="33">
        <v>153</v>
      </c>
      <c r="B155" s="34" t="s">
        <v>3755</v>
      </c>
      <c r="C155" s="35"/>
      <c r="D155" s="34" t="s">
        <v>3756</v>
      </c>
      <c r="E155" s="34" t="s">
        <v>3757</v>
      </c>
      <c r="F155" s="34" t="s">
        <v>3758</v>
      </c>
      <c r="G155" s="34" t="s">
        <v>3759</v>
      </c>
      <c r="H155" s="34" t="s">
        <v>3760</v>
      </c>
      <c r="I155" s="33">
        <v>2</v>
      </c>
      <c r="J155" s="34" t="s">
        <v>3761</v>
      </c>
      <c r="K155" s="35"/>
      <c r="L155" s="34" t="s">
        <v>2719</v>
      </c>
      <c r="M155" s="35" t="s">
        <v>29</v>
      </c>
      <c r="N155" s="34" t="s">
        <v>2590</v>
      </c>
      <c r="O155" s="35" t="s">
        <v>816</v>
      </c>
      <c r="P155" s="35" t="s">
        <v>2710</v>
      </c>
    </row>
    <row r="156" spans="1:16" ht="13.2" customHeight="1" x14ac:dyDescent="0.25">
      <c r="A156" s="33">
        <v>154</v>
      </c>
      <c r="B156" s="34" t="s">
        <v>3762</v>
      </c>
      <c r="C156" s="35"/>
      <c r="D156" s="34" t="s">
        <v>689</v>
      </c>
      <c r="E156" s="34" t="s">
        <v>3763</v>
      </c>
      <c r="F156" s="34" t="s">
        <v>3764</v>
      </c>
      <c r="G156" s="34" t="s">
        <v>1125</v>
      </c>
      <c r="H156" s="34" t="s">
        <v>3765</v>
      </c>
      <c r="I156" s="33" t="s">
        <v>84</v>
      </c>
      <c r="J156" s="34" t="s">
        <v>3766</v>
      </c>
      <c r="K156" s="35"/>
      <c r="L156" s="34" t="s">
        <v>2987</v>
      </c>
      <c r="M156" s="35" t="s">
        <v>29</v>
      </c>
      <c r="N156" s="34" t="s">
        <v>2548</v>
      </c>
      <c r="O156" s="35" t="s">
        <v>816</v>
      </c>
      <c r="P156" s="35" t="s">
        <v>2710</v>
      </c>
    </row>
    <row r="157" spans="1:16" ht="13.2" customHeight="1" x14ac:dyDescent="0.25">
      <c r="A157" s="33">
        <v>155</v>
      </c>
      <c r="B157" s="34" t="s">
        <v>3767</v>
      </c>
      <c r="C157" s="35"/>
      <c r="D157" s="34" t="s">
        <v>3768</v>
      </c>
      <c r="E157" s="34" t="s">
        <v>3769</v>
      </c>
      <c r="F157" s="34" t="s">
        <v>3770</v>
      </c>
      <c r="G157" s="34" t="s">
        <v>3771</v>
      </c>
      <c r="H157" s="34" t="s">
        <v>827</v>
      </c>
      <c r="I157" s="33">
        <v>4</v>
      </c>
      <c r="J157" s="34" t="s">
        <v>3772</v>
      </c>
      <c r="K157" s="35"/>
      <c r="L157" s="34" t="s">
        <v>2970</v>
      </c>
      <c r="M157" s="35" t="s">
        <v>29</v>
      </c>
      <c r="N157" s="34" t="s">
        <v>2563</v>
      </c>
      <c r="O157" s="35" t="s">
        <v>816</v>
      </c>
      <c r="P157" s="35" t="s">
        <v>2710</v>
      </c>
    </row>
    <row r="158" spans="1:16" ht="13.2" customHeight="1" x14ac:dyDescent="0.25">
      <c r="A158" s="33">
        <v>156</v>
      </c>
      <c r="B158" s="34" t="s">
        <v>3773</v>
      </c>
      <c r="C158" s="35"/>
      <c r="D158" s="34" t="s">
        <v>3774</v>
      </c>
      <c r="E158" s="34" t="s">
        <v>3775</v>
      </c>
      <c r="F158" s="34" t="s">
        <v>3776</v>
      </c>
      <c r="G158" s="34" t="s">
        <v>3777</v>
      </c>
      <c r="H158" s="34" t="s">
        <v>3778</v>
      </c>
      <c r="I158" s="33">
        <v>3</v>
      </c>
      <c r="J158" s="34" t="s">
        <v>3779</v>
      </c>
      <c r="K158" s="35"/>
      <c r="L158" s="34" t="s">
        <v>2970</v>
      </c>
      <c r="M158" s="35" t="s">
        <v>29</v>
      </c>
      <c r="N158" s="34" t="s">
        <v>3780</v>
      </c>
      <c r="O158" s="35" t="s">
        <v>816</v>
      </c>
      <c r="P158" s="35" t="s">
        <v>2710</v>
      </c>
    </row>
    <row r="159" spans="1:16" ht="13.2" customHeight="1" x14ac:dyDescent="0.25">
      <c r="A159" s="33">
        <v>157</v>
      </c>
      <c r="B159" s="34" t="s">
        <v>3781</v>
      </c>
      <c r="C159" s="35"/>
      <c r="D159" s="34" t="s">
        <v>3782</v>
      </c>
      <c r="E159" s="34" t="s">
        <v>3783</v>
      </c>
      <c r="F159" s="34" t="s">
        <v>3784</v>
      </c>
      <c r="G159" s="34" t="s">
        <v>3785</v>
      </c>
      <c r="H159" s="34" t="s">
        <v>3786</v>
      </c>
      <c r="I159" s="33">
        <v>2</v>
      </c>
      <c r="J159" s="34" t="s">
        <v>3787</v>
      </c>
      <c r="K159" s="35"/>
      <c r="L159" s="34" t="s">
        <v>3788</v>
      </c>
      <c r="M159" s="35" t="s">
        <v>29</v>
      </c>
      <c r="N159" s="34" t="s">
        <v>3789</v>
      </c>
      <c r="O159" s="35" t="s">
        <v>816</v>
      </c>
      <c r="P159" s="35" t="s">
        <v>2710</v>
      </c>
    </row>
    <row r="160" spans="1:16" ht="13.2" customHeight="1" x14ac:dyDescent="0.25">
      <c r="A160" s="33">
        <v>158</v>
      </c>
      <c r="B160" s="34" t="s">
        <v>3790</v>
      </c>
      <c r="C160" s="35"/>
      <c r="D160" s="34" t="s">
        <v>3791</v>
      </c>
      <c r="E160" s="34" t="s">
        <v>3792</v>
      </c>
      <c r="F160" s="34" t="s">
        <v>3793</v>
      </c>
      <c r="G160" s="34" t="s">
        <v>3150</v>
      </c>
      <c r="H160" s="34" t="s">
        <v>3794</v>
      </c>
      <c r="I160" s="33">
        <v>1</v>
      </c>
      <c r="J160" s="34" t="s">
        <v>3795</v>
      </c>
      <c r="K160" s="35"/>
      <c r="L160" s="34" t="s">
        <v>3796</v>
      </c>
      <c r="M160" s="35" t="s">
        <v>29</v>
      </c>
      <c r="N160" s="34" t="s">
        <v>3797</v>
      </c>
      <c r="O160" s="35" t="s">
        <v>816</v>
      </c>
      <c r="P160" s="35" t="s">
        <v>2710</v>
      </c>
    </row>
    <row r="161" spans="1:16" ht="13.2" customHeight="1" x14ac:dyDescent="0.25">
      <c r="A161" s="33">
        <v>159</v>
      </c>
      <c r="B161" s="34" t="s">
        <v>3798</v>
      </c>
      <c r="C161" s="35"/>
      <c r="D161" s="34" t="s">
        <v>3584</v>
      </c>
      <c r="E161" s="34" t="s">
        <v>3591</v>
      </c>
      <c r="F161" s="34" t="s">
        <v>3799</v>
      </c>
      <c r="G161" s="34" t="s">
        <v>3800</v>
      </c>
      <c r="H161" s="34" t="s">
        <v>3801</v>
      </c>
      <c r="I161" s="33">
        <v>3</v>
      </c>
      <c r="J161" s="34" t="s">
        <v>3802</v>
      </c>
      <c r="K161" s="35"/>
      <c r="L161" s="34" t="s">
        <v>3796</v>
      </c>
      <c r="M161" s="35" t="s">
        <v>29</v>
      </c>
      <c r="N161" s="34" t="s">
        <v>3803</v>
      </c>
      <c r="O161" s="35" t="s">
        <v>816</v>
      </c>
      <c r="P161" s="35" t="s">
        <v>2710</v>
      </c>
    </row>
    <row r="162" spans="1:16" ht="13.2" customHeight="1" x14ac:dyDescent="0.25">
      <c r="A162" s="33">
        <v>160</v>
      </c>
      <c r="B162" s="34" t="s">
        <v>3804</v>
      </c>
      <c r="C162" s="35"/>
      <c r="D162" s="34" t="s">
        <v>3805</v>
      </c>
      <c r="E162" s="34" t="s">
        <v>3806</v>
      </c>
      <c r="F162" s="34" t="s">
        <v>3807</v>
      </c>
      <c r="G162" s="34" t="s">
        <v>3808</v>
      </c>
      <c r="H162" s="34" t="s">
        <v>3809</v>
      </c>
      <c r="I162" s="33">
        <v>1</v>
      </c>
      <c r="J162" s="34" t="s">
        <v>3810</v>
      </c>
      <c r="K162" s="35"/>
      <c r="L162" s="34" t="s">
        <v>3732</v>
      </c>
      <c r="M162" s="35" t="s">
        <v>29</v>
      </c>
      <c r="N162" s="34" t="s">
        <v>3811</v>
      </c>
      <c r="O162" s="35" t="s">
        <v>816</v>
      </c>
      <c r="P162" s="35" t="s">
        <v>2710</v>
      </c>
    </row>
    <row r="163" spans="1:16" ht="13.2" customHeight="1" x14ac:dyDescent="0.25">
      <c r="A163" s="33">
        <v>161</v>
      </c>
      <c r="B163" s="34" t="s">
        <v>3812</v>
      </c>
      <c r="C163" s="35"/>
      <c r="D163" s="34" t="s">
        <v>3813</v>
      </c>
      <c r="E163" s="34" t="s">
        <v>3814</v>
      </c>
      <c r="F163" s="34" t="s">
        <v>3815</v>
      </c>
      <c r="G163" s="34" t="s">
        <v>3816</v>
      </c>
      <c r="H163" s="34" t="s">
        <v>3817</v>
      </c>
      <c r="I163" s="33">
        <v>3</v>
      </c>
      <c r="J163" s="34" t="s">
        <v>3818</v>
      </c>
      <c r="K163" s="35"/>
      <c r="L163" s="34" t="s">
        <v>3346</v>
      </c>
      <c r="M163" s="35" t="s">
        <v>29</v>
      </c>
      <c r="N163" s="34" t="s">
        <v>3819</v>
      </c>
      <c r="O163" s="35" t="s">
        <v>816</v>
      </c>
      <c r="P163" s="35" t="s">
        <v>2710</v>
      </c>
    </row>
    <row r="164" spans="1:16" ht="13.2" customHeight="1" x14ac:dyDescent="0.25">
      <c r="A164" s="33">
        <v>162</v>
      </c>
      <c r="B164" s="34" t="s">
        <v>3820</v>
      </c>
      <c r="C164" s="35"/>
      <c r="D164" s="34" t="s">
        <v>3821</v>
      </c>
      <c r="E164" s="34" t="s">
        <v>3822</v>
      </c>
      <c r="F164" s="34" t="s">
        <v>3823</v>
      </c>
      <c r="G164" s="34" t="s">
        <v>3824</v>
      </c>
      <c r="H164" s="34" t="s">
        <v>3825</v>
      </c>
      <c r="I164" s="33">
        <v>2</v>
      </c>
      <c r="J164" s="34" t="s">
        <v>3826</v>
      </c>
      <c r="K164" s="35"/>
      <c r="L164" s="34" t="s">
        <v>3827</v>
      </c>
      <c r="M164" s="35" t="s">
        <v>29</v>
      </c>
      <c r="N164" s="34" t="s">
        <v>1646</v>
      </c>
      <c r="O164" s="35" t="s">
        <v>816</v>
      </c>
      <c r="P164" s="35" t="s">
        <v>2710</v>
      </c>
    </row>
    <row r="165" spans="1:16" ht="13.2" customHeight="1" x14ac:dyDescent="0.25">
      <c r="A165" s="33">
        <v>163</v>
      </c>
      <c r="B165" s="34" t="s">
        <v>3828</v>
      </c>
      <c r="C165" s="35"/>
      <c r="D165" s="34" t="s">
        <v>3829</v>
      </c>
      <c r="E165" s="34" t="s">
        <v>3830</v>
      </c>
      <c r="F165" s="34" t="s">
        <v>3831</v>
      </c>
      <c r="G165" s="34" t="s">
        <v>3832</v>
      </c>
      <c r="H165" s="34" t="s">
        <v>3833</v>
      </c>
      <c r="I165" s="33">
        <v>5</v>
      </c>
      <c r="J165" s="34" t="s">
        <v>3834</v>
      </c>
      <c r="K165" s="35"/>
      <c r="L165" s="34" t="s">
        <v>2719</v>
      </c>
      <c r="M165" s="35" t="s">
        <v>29</v>
      </c>
      <c r="N165" s="34" t="s">
        <v>1653</v>
      </c>
      <c r="O165" s="35" t="s">
        <v>816</v>
      </c>
      <c r="P165" s="35" t="s">
        <v>2710</v>
      </c>
    </row>
    <row r="166" spans="1:16" ht="13.2" customHeight="1" x14ac:dyDescent="0.25">
      <c r="A166" s="33">
        <v>164</v>
      </c>
      <c r="B166" s="34" t="s">
        <v>3835</v>
      </c>
      <c r="C166" s="35"/>
      <c r="D166" s="34" t="s">
        <v>3836</v>
      </c>
      <c r="E166" s="34" t="s">
        <v>3837</v>
      </c>
      <c r="F166" s="34" t="s">
        <v>3838</v>
      </c>
      <c r="G166" s="34" t="s">
        <v>3839</v>
      </c>
      <c r="H166" s="34" t="s">
        <v>3840</v>
      </c>
      <c r="I166" s="33" t="s">
        <v>84</v>
      </c>
      <c r="J166" s="34" t="s">
        <v>3841</v>
      </c>
      <c r="K166" s="35"/>
      <c r="L166" s="34" t="s">
        <v>2970</v>
      </c>
      <c r="M166" s="35" t="s">
        <v>29</v>
      </c>
      <c r="N166" s="34" t="s">
        <v>3780</v>
      </c>
      <c r="O166" s="35" t="s">
        <v>816</v>
      </c>
      <c r="P166" s="35" t="s">
        <v>2710</v>
      </c>
    </row>
    <row r="167" spans="1:16" ht="13.2" customHeight="1" x14ac:dyDescent="0.25">
      <c r="A167" s="33">
        <v>165</v>
      </c>
      <c r="B167" s="34" t="s">
        <v>3842</v>
      </c>
      <c r="C167" s="35"/>
      <c r="D167" s="34" t="s">
        <v>3843</v>
      </c>
      <c r="E167" s="34" t="s">
        <v>3844</v>
      </c>
      <c r="F167" s="34" t="s">
        <v>3845</v>
      </c>
      <c r="G167" s="34" t="s">
        <v>3846</v>
      </c>
      <c r="H167" s="34" t="s">
        <v>3847</v>
      </c>
      <c r="I167" s="33">
        <v>4</v>
      </c>
      <c r="J167" s="34" t="s">
        <v>3848</v>
      </c>
      <c r="K167" s="35"/>
      <c r="L167" s="34" t="s">
        <v>2970</v>
      </c>
      <c r="M167" s="35" t="s">
        <v>29</v>
      </c>
      <c r="N167" s="34" t="s">
        <v>3789</v>
      </c>
      <c r="O167" s="35" t="s">
        <v>816</v>
      </c>
      <c r="P167" s="35" t="s">
        <v>2710</v>
      </c>
    </row>
    <row r="168" spans="1:16" ht="13.2" customHeight="1" x14ac:dyDescent="0.25">
      <c r="A168" s="33">
        <v>166</v>
      </c>
      <c r="B168" s="34" t="s">
        <v>3849</v>
      </c>
      <c r="C168" s="35"/>
      <c r="D168" s="34" t="s">
        <v>3850</v>
      </c>
      <c r="E168" s="34" t="s">
        <v>3851</v>
      </c>
      <c r="F168" s="34" t="s">
        <v>3852</v>
      </c>
      <c r="G168" s="34" t="s">
        <v>3853</v>
      </c>
      <c r="H168" s="34" t="s">
        <v>3854</v>
      </c>
      <c r="I168" s="33">
        <v>3</v>
      </c>
      <c r="J168" s="34" t="s">
        <v>3855</v>
      </c>
      <c r="K168" s="35"/>
      <c r="L168" s="34" t="s">
        <v>3346</v>
      </c>
      <c r="M168" s="35" t="s">
        <v>29</v>
      </c>
      <c r="N168" s="34" t="s">
        <v>3856</v>
      </c>
      <c r="O168" s="35" t="s">
        <v>816</v>
      </c>
      <c r="P168" s="35" t="s">
        <v>2710</v>
      </c>
    </row>
    <row r="169" spans="1:16" ht="13.2" customHeight="1" x14ac:dyDescent="0.25">
      <c r="A169" s="33">
        <v>167</v>
      </c>
      <c r="B169" s="34" t="s">
        <v>3857</v>
      </c>
      <c r="C169" s="35"/>
      <c r="D169" s="34" t="s">
        <v>3858</v>
      </c>
      <c r="E169" s="34" t="s">
        <v>3859</v>
      </c>
      <c r="F169" s="34" t="s">
        <v>3860</v>
      </c>
      <c r="G169" s="34" t="s">
        <v>3861</v>
      </c>
      <c r="H169" s="34" t="s">
        <v>3862</v>
      </c>
      <c r="I169" s="33">
        <v>4</v>
      </c>
      <c r="J169" s="34" t="s">
        <v>3863</v>
      </c>
      <c r="K169" s="35"/>
      <c r="L169" s="34" t="s">
        <v>3346</v>
      </c>
      <c r="M169" s="35" t="s">
        <v>29</v>
      </c>
      <c r="N169" s="34" t="s">
        <v>3864</v>
      </c>
      <c r="O169" s="35" t="s">
        <v>816</v>
      </c>
      <c r="P169" s="35" t="s">
        <v>2710</v>
      </c>
    </row>
    <row r="170" spans="1:16" ht="13.2" customHeight="1" x14ac:dyDescent="0.25">
      <c r="A170" s="33">
        <v>168</v>
      </c>
      <c r="B170" s="34" t="s">
        <v>3865</v>
      </c>
      <c r="C170" s="35"/>
      <c r="D170" s="34" t="s">
        <v>3866</v>
      </c>
      <c r="E170" s="34" t="s">
        <v>3867</v>
      </c>
      <c r="F170" s="34" t="s">
        <v>3868</v>
      </c>
      <c r="G170" s="34" t="s">
        <v>3869</v>
      </c>
      <c r="H170" s="34" t="s">
        <v>3870</v>
      </c>
      <c r="I170" s="33">
        <v>1</v>
      </c>
      <c r="J170" s="34" t="s">
        <v>3871</v>
      </c>
      <c r="K170" s="35"/>
      <c r="L170" s="34" t="s">
        <v>3732</v>
      </c>
      <c r="M170" s="35" t="s">
        <v>29</v>
      </c>
      <c r="N170" s="34" t="s">
        <v>2575</v>
      </c>
      <c r="O170" s="35" t="s">
        <v>816</v>
      </c>
      <c r="P170" s="35" t="s">
        <v>2710</v>
      </c>
    </row>
    <row r="171" spans="1:16" ht="13.2" customHeight="1" x14ac:dyDescent="0.25">
      <c r="A171" s="33">
        <v>169</v>
      </c>
      <c r="B171" s="34" t="s">
        <v>3872</v>
      </c>
      <c r="C171" s="35"/>
      <c r="D171" s="34" t="s">
        <v>3873</v>
      </c>
      <c r="E171" s="34" t="s">
        <v>3874</v>
      </c>
      <c r="F171" s="34" t="s">
        <v>3875</v>
      </c>
      <c r="G171" s="34" t="s">
        <v>3876</v>
      </c>
      <c r="H171" s="34" t="s">
        <v>3877</v>
      </c>
      <c r="I171" s="33" t="s">
        <v>84</v>
      </c>
      <c r="J171" s="34" t="s">
        <v>3878</v>
      </c>
      <c r="K171" s="35"/>
      <c r="L171" s="34" t="s">
        <v>2719</v>
      </c>
      <c r="M171" s="35" t="s">
        <v>29</v>
      </c>
      <c r="N171" s="34" t="s">
        <v>3879</v>
      </c>
      <c r="O171" s="35" t="s">
        <v>816</v>
      </c>
      <c r="P171" s="35" t="s">
        <v>2710</v>
      </c>
    </row>
    <row r="172" spans="1:16" ht="13.2" customHeight="1" x14ac:dyDescent="0.25">
      <c r="A172" s="33">
        <v>170</v>
      </c>
      <c r="B172" s="34" t="s">
        <v>3880</v>
      </c>
      <c r="C172" s="35"/>
      <c r="D172" s="34" t="s">
        <v>3881</v>
      </c>
      <c r="E172" s="34" t="s">
        <v>3882</v>
      </c>
      <c r="F172" s="34" t="s">
        <v>3883</v>
      </c>
      <c r="G172" s="34" t="s">
        <v>3884</v>
      </c>
      <c r="H172" s="34" t="s">
        <v>3885</v>
      </c>
      <c r="I172" s="33">
        <v>1</v>
      </c>
      <c r="J172" s="34" t="s">
        <v>3886</v>
      </c>
      <c r="K172" s="35"/>
      <c r="L172" s="34" t="s">
        <v>3732</v>
      </c>
      <c r="M172" s="35" t="s">
        <v>29</v>
      </c>
      <c r="N172" s="34" t="s">
        <v>3887</v>
      </c>
      <c r="O172" s="35" t="s">
        <v>816</v>
      </c>
      <c r="P172" s="35" t="s">
        <v>2711</v>
      </c>
    </row>
    <row r="173" spans="1:16" ht="13.2" customHeight="1" x14ac:dyDescent="0.25">
      <c r="A173" s="33">
        <v>171</v>
      </c>
      <c r="B173" s="34" t="s">
        <v>3888</v>
      </c>
      <c r="C173" s="35"/>
      <c r="D173" s="34" t="s">
        <v>3311</v>
      </c>
      <c r="E173" s="34" t="s">
        <v>3312</v>
      </c>
      <c r="F173" s="34" t="s">
        <v>3249</v>
      </c>
      <c r="G173" s="34" t="s">
        <v>3250</v>
      </c>
      <c r="H173" s="34" t="s">
        <v>3251</v>
      </c>
      <c r="I173" s="33" t="s">
        <v>84</v>
      </c>
      <c r="J173" s="34" t="s">
        <v>3889</v>
      </c>
      <c r="K173" s="35"/>
      <c r="L173" s="34" t="s">
        <v>2970</v>
      </c>
      <c r="M173" s="35" t="s">
        <v>29</v>
      </c>
      <c r="N173" s="34" t="s">
        <v>3887</v>
      </c>
      <c r="O173" s="35" t="s">
        <v>816</v>
      </c>
      <c r="P173" s="35" t="s">
        <v>2711</v>
      </c>
    </row>
    <row r="174" spans="1:16" ht="13.2" customHeight="1" x14ac:dyDescent="0.25">
      <c r="A174" s="33">
        <v>172</v>
      </c>
      <c r="B174" s="34" t="s">
        <v>3890</v>
      </c>
      <c r="C174" s="35"/>
      <c r="D174" s="34" t="s">
        <v>3250</v>
      </c>
      <c r="E174" s="34" t="s">
        <v>3251</v>
      </c>
      <c r="F174" s="34" t="s">
        <v>3285</v>
      </c>
      <c r="G174" s="34" t="s">
        <v>3305</v>
      </c>
      <c r="H174" s="34" t="s">
        <v>3242</v>
      </c>
      <c r="I174" s="33" t="s">
        <v>84</v>
      </c>
      <c r="J174" s="34" t="s">
        <v>3891</v>
      </c>
      <c r="K174" s="35"/>
      <c r="L174" s="34" t="s">
        <v>2970</v>
      </c>
      <c r="M174" s="35" t="s">
        <v>29</v>
      </c>
      <c r="N174" s="34" t="s">
        <v>3892</v>
      </c>
      <c r="O174" s="35" t="s">
        <v>816</v>
      </c>
      <c r="P174" s="35" t="s">
        <v>2711</v>
      </c>
    </row>
    <row r="175" spans="1:16" ht="13.2" customHeight="1" x14ac:dyDescent="0.25">
      <c r="A175" s="33">
        <v>173</v>
      </c>
      <c r="B175" s="34" t="s">
        <v>3893</v>
      </c>
      <c r="C175" s="35"/>
      <c r="D175" s="34" t="s">
        <v>3894</v>
      </c>
      <c r="E175" s="34" t="s">
        <v>3895</v>
      </c>
      <c r="F175" s="34" t="s">
        <v>3896</v>
      </c>
      <c r="G175" s="34" t="s">
        <v>3897</v>
      </c>
      <c r="H175" s="34" t="s">
        <v>3898</v>
      </c>
      <c r="I175" s="33">
        <v>1</v>
      </c>
      <c r="J175" s="34" t="s">
        <v>3899</v>
      </c>
      <c r="K175" s="35"/>
      <c r="L175" s="34" t="s">
        <v>2719</v>
      </c>
      <c r="M175" s="35" t="s">
        <v>29</v>
      </c>
      <c r="N175" s="34" t="s">
        <v>3900</v>
      </c>
      <c r="O175" s="35" t="s">
        <v>816</v>
      </c>
      <c r="P175" s="35" t="s">
        <v>2711</v>
      </c>
    </row>
    <row r="176" spans="1:16" ht="13.2" customHeight="1" x14ac:dyDescent="0.25">
      <c r="A176" s="33">
        <v>174</v>
      </c>
      <c r="B176" s="34" t="s">
        <v>3901</v>
      </c>
      <c r="C176" s="35"/>
      <c r="D176" s="34" t="s">
        <v>3756</v>
      </c>
      <c r="E176" s="34" t="s">
        <v>3902</v>
      </c>
      <c r="F176" s="34" t="s">
        <v>3903</v>
      </c>
      <c r="G176" s="34" t="s">
        <v>3904</v>
      </c>
      <c r="H176" s="34" t="s">
        <v>3905</v>
      </c>
      <c r="I176" s="33">
        <v>1</v>
      </c>
      <c r="J176" s="34" t="s">
        <v>3906</v>
      </c>
      <c r="K176" s="35"/>
      <c r="L176" s="34" t="s">
        <v>2719</v>
      </c>
      <c r="M176" s="35" t="s">
        <v>29</v>
      </c>
      <c r="N176" s="34" t="s">
        <v>3887</v>
      </c>
      <c r="O176" s="35" t="s">
        <v>816</v>
      </c>
      <c r="P176" s="35" t="s">
        <v>2711</v>
      </c>
    </row>
    <row r="177" spans="1:16" ht="13.2" customHeight="1" x14ac:dyDescent="0.25">
      <c r="A177" s="33">
        <v>175</v>
      </c>
      <c r="B177" s="34" t="s">
        <v>3907</v>
      </c>
      <c r="C177" s="35"/>
      <c r="D177" s="34" t="s">
        <v>3908</v>
      </c>
      <c r="E177" s="34" t="s">
        <v>3909</v>
      </c>
      <c r="F177" s="34" t="s">
        <v>3910</v>
      </c>
      <c r="G177" s="34" t="s">
        <v>3911</v>
      </c>
      <c r="H177" s="34" t="s">
        <v>3912</v>
      </c>
      <c r="I177" s="33">
        <v>1</v>
      </c>
      <c r="J177" s="34" t="s">
        <v>3913</v>
      </c>
      <c r="K177" s="35"/>
      <c r="L177" s="34" t="s">
        <v>2719</v>
      </c>
      <c r="M177" s="35" t="s">
        <v>29</v>
      </c>
      <c r="N177" s="34" t="s">
        <v>1669</v>
      </c>
      <c r="O177" s="35" t="s">
        <v>816</v>
      </c>
      <c r="P177" s="35" t="s">
        <v>2711</v>
      </c>
    </row>
    <row r="178" spans="1:16" ht="13.2" customHeight="1" x14ac:dyDescent="0.25">
      <c r="A178" s="33">
        <v>176</v>
      </c>
      <c r="B178" s="34" t="s">
        <v>3914</v>
      </c>
      <c r="C178" s="35"/>
      <c r="D178" s="34" t="s">
        <v>3312</v>
      </c>
      <c r="E178" s="34" t="s">
        <v>3249</v>
      </c>
      <c r="F178" s="34" t="s">
        <v>3250</v>
      </c>
      <c r="G178" s="34" t="s">
        <v>3251</v>
      </c>
      <c r="H178" s="34" t="s">
        <v>3285</v>
      </c>
      <c r="I178" s="33" t="s">
        <v>84</v>
      </c>
      <c r="J178" s="34" t="s">
        <v>3915</v>
      </c>
      <c r="K178" s="35"/>
      <c r="L178" s="34" t="s">
        <v>2719</v>
      </c>
      <c r="M178" s="35" t="s">
        <v>29</v>
      </c>
      <c r="N178" s="34" t="s">
        <v>3887</v>
      </c>
      <c r="O178" s="35" t="s">
        <v>816</v>
      </c>
      <c r="P178" s="35" t="s">
        <v>2711</v>
      </c>
    </row>
    <row r="179" spans="1:16" ht="13.2" customHeight="1" x14ac:dyDescent="0.25">
      <c r="A179" s="33">
        <v>177</v>
      </c>
      <c r="B179" s="34" t="s">
        <v>3916</v>
      </c>
      <c r="C179" s="35"/>
      <c r="D179" s="34" t="s">
        <v>3251</v>
      </c>
      <c r="E179" s="34" t="s">
        <v>3285</v>
      </c>
      <c r="F179" s="34" t="s">
        <v>3305</v>
      </c>
      <c r="G179" s="34" t="s">
        <v>3242</v>
      </c>
      <c r="H179" s="34" t="s">
        <v>3244</v>
      </c>
      <c r="I179" s="33" t="s">
        <v>84</v>
      </c>
      <c r="J179" s="34" t="s">
        <v>3917</v>
      </c>
      <c r="K179" s="35"/>
      <c r="L179" s="34" t="s">
        <v>2970</v>
      </c>
      <c r="M179" s="35" t="s">
        <v>29</v>
      </c>
      <c r="N179" s="34" t="s">
        <v>3918</v>
      </c>
      <c r="O179" s="35" t="s">
        <v>816</v>
      </c>
      <c r="P179" s="35" t="s">
        <v>2711</v>
      </c>
    </row>
    <row r="180" spans="1:16" ht="13.2" customHeight="1" x14ac:dyDescent="0.25">
      <c r="A180" s="33">
        <v>178</v>
      </c>
      <c r="B180" s="34" t="s">
        <v>3919</v>
      </c>
      <c r="C180" s="35"/>
      <c r="D180" s="34" t="s">
        <v>3920</v>
      </c>
      <c r="E180" s="34" t="s">
        <v>3921</v>
      </c>
      <c r="F180" s="34" t="s">
        <v>3922</v>
      </c>
      <c r="G180" s="34" t="s">
        <v>3923</v>
      </c>
      <c r="H180" s="34" t="s">
        <v>3924</v>
      </c>
      <c r="I180" s="33">
        <v>1</v>
      </c>
      <c r="J180" s="34" t="s">
        <v>3925</v>
      </c>
      <c r="K180" s="35"/>
      <c r="L180" s="34" t="s">
        <v>2970</v>
      </c>
      <c r="M180" s="35" t="s">
        <v>29</v>
      </c>
      <c r="N180" s="34" t="s">
        <v>3926</v>
      </c>
      <c r="O180" s="35" t="s">
        <v>816</v>
      </c>
      <c r="P180" s="35" t="s">
        <v>2711</v>
      </c>
    </row>
    <row r="181" spans="1:16" ht="13.2" customHeight="1" x14ac:dyDescent="0.25">
      <c r="A181" s="33">
        <v>179</v>
      </c>
      <c r="B181" s="34" t="s">
        <v>3927</v>
      </c>
      <c r="C181" s="35"/>
      <c r="D181" s="34" t="s">
        <v>3198</v>
      </c>
      <c r="E181" s="34" t="s">
        <v>3199</v>
      </c>
      <c r="F181" s="34" t="s">
        <v>3241</v>
      </c>
      <c r="G181" s="34" t="s">
        <v>3359</v>
      </c>
      <c r="H181" s="34" t="s">
        <v>3311</v>
      </c>
      <c r="I181" s="33" t="s">
        <v>84</v>
      </c>
      <c r="J181" s="34" t="s">
        <v>3928</v>
      </c>
      <c r="K181" s="35"/>
      <c r="L181" s="34" t="s">
        <v>2970</v>
      </c>
      <c r="M181" s="35" t="s">
        <v>29</v>
      </c>
      <c r="N181" s="34" t="s">
        <v>3887</v>
      </c>
      <c r="O181" s="35" t="s">
        <v>816</v>
      </c>
      <c r="P181" s="35" t="s">
        <v>2711</v>
      </c>
    </row>
    <row r="182" spans="1:16" ht="13.2" customHeight="1" x14ac:dyDescent="0.25">
      <c r="A182" s="33">
        <v>180</v>
      </c>
      <c r="B182" s="34" t="s">
        <v>3929</v>
      </c>
      <c r="C182" s="35"/>
      <c r="D182" s="34" t="s">
        <v>3930</v>
      </c>
      <c r="E182" s="34" t="s">
        <v>3931</v>
      </c>
      <c r="F182" s="34" t="s">
        <v>3932</v>
      </c>
      <c r="G182" s="34" t="s">
        <v>3933</v>
      </c>
      <c r="H182" s="34" t="s">
        <v>3934</v>
      </c>
      <c r="I182" s="33" t="s">
        <v>123</v>
      </c>
      <c r="J182" s="34" t="s">
        <v>3935</v>
      </c>
      <c r="K182" s="35"/>
      <c r="L182" s="34" t="s">
        <v>2970</v>
      </c>
      <c r="M182" s="35" t="s">
        <v>29</v>
      </c>
      <c r="N182" s="34" t="s">
        <v>3936</v>
      </c>
      <c r="O182" s="35" t="s">
        <v>816</v>
      </c>
      <c r="P182" s="35" t="s">
        <v>2711</v>
      </c>
    </row>
    <row r="183" spans="1:16" ht="13.2" customHeight="1" x14ac:dyDescent="0.25">
      <c r="A183" s="33">
        <v>181</v>
      </c>
      <c r="B183" s="34" t="s">
        <v>3937</v>
      </c>
      <c r="C183" s="35"/>
      <c r="D183" s="34" t="s">
        <v>3149</v>
      </c>
      <c r="E183" s="34" t="s">
        <v>3150</v>
      </c>
      <c r="F183" s="34" t="s">
        <v>3151</v>
      </c>
      <c r="G183" s="34" t="s">
        <v>3152</v>
      </c>
      <c r="H183" s="34" t="s">
        <v>2974</v>
      </c>
      <c r="I183" s="33" t="s">
        <v>96</v>
      </c>
      <c r="J183" s="34" t="s">
        <v>3938</v>
      </c>
      <c r="K183" s="35"/>
      <c r="L183" s="34" t="s">
        <v>2970</v>
      </c>
      <c r="M183" s="35" t="s">
        <v>29</v>
      </c>
      <c r="N183" s="34" t="s">
        <v>3936</v>
      </c>
      <c r="O183" s="35" t="s">
        <v>816</v>
      </c>
      <c r="P183" s="35" t="s">
        <v>2711</v>
      </c>
    </row>
    <row r="184" spans="1:16" ht="13.2" customHeight="1" x14ac:dyDescent="0.25">
      <c r="A184" s="33">
        <v>182</v>
      </c>
      <c r="B184" s="34" t="s">
        <v>3939</v>
      </c>
      <c r="C184" s="35"/>
      <c r="D184" s="34" t="s">
        <v>3940</v>
      </c>
      <c r="E184" s="34" t="s">
        <v>3414</v>
      </c>
      <c r="F184" s="34" t="s">
        <v>3036</v>
      </c>
      <c r="G184" s="34" t="s">
        <v>3469</v>
      </c>
      <c r="H184" s="34" t="s">
        <v>3941</v>
      </c>
      <c r="I184" s="33">
        <v>1</v>
      </c>
      <c r="J184" s="34" t="s">
        <v>3942</v>
      </c>
      <c r="K184" s="35"/>
      <c r="L184" s="34" t="s">
        <v>3943</v>
      </c>
      <c r="M184" s="35" t="s">
        <v>29</v>
      </c>
      <c r="N184" s="34" t="s">
        <v>1669</v>
      </c>
      <c r="O184" s="35" t="s">
        <v>816</v>
      </c>
      <c r="P184" s="35" t="s">
        <v>2711</v>
      </c>
    </row>
    <row r="185" spans="1:16" ht="13.2" customHeight="1" x14ac:dyDescent="0.25">
      <c r="A185" s="33">
        <v>183</v>
      </c>
      <c r="B185" s="34" t="s">
        <v>3944</v>
      </c>
      <c r="C185" s="35"/>
      <c r="D185" s="34" t="s">
        <v>3945</v>
      </c>
      <c r="E185" s="34" t="s">
        <v>3946</v>
      </c>
      <c r="F185" s="34" t="s">
        <v>3947</v>
      </c>
      <c r="G185" s="34" t="s">
        <v>3948</v>
      </c>
      <c r="H185" s="34" t="s">
        <v>3949</v>
      </c>
      <c r="I185" s="33">
        <v>1</v>
      </c>
      <c r="J185" s="34" t="s">
        <v>3950</v>
      </c>
      <c r="K185" s="35"/>
      <c r="L185" s="34" t="s">
        <v>2987</v>
      </c>
      <c r="M185" s="35" t="s">
        <v>29</v>
      </c>
      <c r="N185" s="34" t="s">
        <v>3951</v>
      </c>
      <c r="O185" s="35" t="s">
        <v>816</v>
      </c>
      <c r="P185" s="35" t="s">
        <v>2711</v>
      </c>
    </row>
    <row r="186" spans="1:16" ht="13.2" customHeight="1" x14ac:dyDescent="0.25">
      <c r="A186" s="33">
        <v>184</v>
      </c>
      <c r="B186" s="34" t="s">
        <v>3952</v>
      </c>
      <c r="C186" s="35"/>
      <c r="D186" s="34" t="s">
        <v>3953</v>
      </c>
      <c r="E186" s="34" t="s">
        <v>3954</v>
      </c>
      <c r="F186" s="34" t="s">
        <v>3955</v>
      </c>
      <c r="G186" s="34" t="s">
        <v>3956</v>
      </c>
      <c r="H186" s="34" t="s">
        <v>3957</v>
      </c>
      <c r="I186" s="33">
        <v>1</v>
      </c>
      <c r="J186" s="34" t="s">
        <v>3958</v>
      </c>
      <c r="K186" s="35"/>
      <c r="L186" s="34" t="s">
        <v>518</v>
      </c>
      <c r="M186" s="35" t="s">
        <v>29</v>
      </c>
      <c r="N186" s="34" t="s">
        <v>3959</v>
      </c>
      <c r="O186" s="35" t="s">
        <v>816</v>
      </c>
      <c r="P186" s="35" t="s">
        <v>2711</v>
      </c>
    </row>
    <row r="187" spans="1:16" ht="13.2" customHeight="1" x14ac:dyDescent="0.25">
      <c r="A187" s="33">
        <v>185</v>
      </c>
      <c r="B187" s="34" t="s">
        <v>3060</v>
      </c>
      <c r="C187" s="35"/>
      <c r="D187" s="34" t="s">
        <v>3311</v>
      </c>
      <c r="E187" s="34" t="s">
        <v>3312</v>
      </c>
      <c r="F187" s="34" t="s">
        <v>3249</v>
      </c>
      <c r="G187" s="34" t="s">
        <v>3250</v>
      </c>
      <c r="H187" s="34" t="s">
        <v>3251</v>
      </c>
      <c r="I187" s="33" t="s">
        <v>84</v>
      </c>
      <c r="J187" s="34" t="s">
        <v>3960</v>
      </c>
      <c r="K187" s="35"/>
      <c r="L187" s="34" t="s">
        <v>2970</v>
      </c>
      <c r="M187" s="35" t="s">
        <v>29</v>
      </c>
      <c r="N187" s="34" t="s">
        <v>3887</v>
      </c>
      <c r="O187" s="35" t="s">
        <v>816</v>
      </c>
      <c r="P187" s="35" t="s">
        <v>2711</v>
      </c>
    </row>
    <row r="188" spans="1:16" ht="13.2" customHeight="1" x14ac:dyDescent="0.25">
      <c r="A188" s="33">
        <v>186</v>
      </c>
      <c r="B188" s="34" t="s">
        <v>3961</v>
      </c>
      <c r="C188" s="35"/>
      <c r="D188" s="34" t="s">
        <v>3250</v>
      </c>
      <c r="E188" s="34" t="s">
        <v>3251</v>
      </c>
      <c r="F188" s="34" t="s">
        <v>3285</v>
      </c>
      <c r="G188" s="34" t="s">
        <v>3305</v>
      </c>
      <c r="H188" s="34" t="s">
        <v>3242</v>
      </c>
      <c r="I188" s="33" t="s">
        <v>84</v>
      </c>
      <c r="J188" s="34" t="s">
        <v>3962</v>
      </c>
      <c r="K188" s="35"/>
      <c r="L188" s="34" t="s">
        <v>2987</v>
      </c>
      <c r="M188" s="35" t="s">
        <v>29</v>
      </c>
      <c r="N188" s="34" t="s">
        <v>3963</v>
      </c>
      <c r="O188" s="35" t="s">
        <v>816</v>
      </c>
      <c r="P188" s="35" t="s">
        <v>2711</v>
      </c>
    </row>
    <row r="189" spans="1:16" ht="13.2" customHeight="1" x14ac:dyDescent="0.25">
      <c r="A189" s="33">
        <v>187</v>
      </c>
      <c r="B189" s="34" t="s">
        <v>3964</v>
      </c>
      <c r="C189" s="35"/>
      <c r="D189" s="34" t="s">
        <v>3965</v>
      </c>
      <c r="E189" s="34" t="s">
        <v>3966</v>
      </c>
      <c r="F189" s="34" t="s">
        <v>3967</v>
      </c>
      <c r="G189" s="34" t="s">
        <v>3968</v>
      </c>
      <c r="H189" s="34" t="s">
        <v>3969</v>
      </c>
      <c r="I189" s="33">
        <v>1</v>
      </c>
      <c r="J189" s="34" t="s">
        <v>3970</v>
      </c>
      <c r="K189" s="35"/>
      <c r="L189" s="34" t="s">
        <v>2719</v>
      </c>
      <c r="M189" s="35" t="s">
        <v>29</v>
      </c>
      <c r="N189" s="34" t="s">
        <v>1669</v>
      </c>
      <c r="O189" s="35" t="s">
        <v>816</v>
      </c>
      <c r="P189" s="35" t="s">
        <v>2711</v>
      </c>
    </row>
    <row r="190" spans="1:16" ht="13.2" customHeight="1" x14ac:dyDescent="0.25">
      <c r="A190" s="33">
        <v>188</v>
      </c>
      <c r="B190" s="34" t="s">
        <v>3971</v>
      </c>
      <c r="C190" s="35"/>
      <c r="D190" s="34" t="s">
        <v>3972</v>
      </c>
      <c r="E190" s="34" t="s">
        <v>3198</v>
      </c>
      <c r="F190" s="34" t="s">
        <v>3199</v>
      </c>
      <c r="G190" s="34" t="s">
        <v>3241</v>
      </c>
      <c r="H190" s="34" t="s">
        <v>3359</v>
      </c>
      <c r="I190" s="33" t="s">
        <v>84</v>
      </c>
      <c r="J190" s="34" t="s">
        <v>3973</v>
      </c>
      <c r="K190" s="35"/>
      <c r="L190" s="34" t="s">
        <v>2719</v>
      </c>
      <c r="M190" s="35" t="s">
        <v>29</v>
      </c>
      <c r="N190" s="34" t="s">
        <v>1669</v>
      </c>
      <c r="O190" s="35" t="s">
        <v>816</v>
      </c>
      <c r="P190" s="35" t="s">
        <v>2711</v>
      </c>
    </row>
    <row r="191" spans="1:16" ht="13.2" customHeight="1" x14ac:dyDescent="0.25">
      <c r="A191" s="33">
        <v>189</v>
      </c>
      <c r="B191" s="34" t="s">
        <v>3974</v>
      </c>
      <c r="C191" s="35"/>
      <c r="D191" s="34" t="s">
        <v>3975</v>
      </c>
      <c r="E191" s="34" t="s">
        <v>3976</v>
      </c>
      <c r="F191" s="34" t="s">
        <v>3977</v>
      </c>
      <c r="G191" s="34" t="s">
        <v>3978</v>
      </c>
      <c r="H191" s="34" t="s">
        <v>3979</v>
      </c>
      <c r="I191" s="33">
        <v>1</v>
      </c>
      <c r="J191" s="34" t="s">
        <v>3980</v>
      </c>
      <c r="K191" s="35"/>
      <c r="L191" s="34" t="s">
        <v>2970</v>
      </c>
      <c r="M191" s="35" t="s">
        <v>29</v>
      </c>
      <c r="N191" s="34" t="s">
        <v>3900</v>
      </c>
      <c r="O191" s="35" t="s">
        <v>816</v>
      </c>
      <c r="P191" s="35" t="s">
        <v>2711</v>
      </c>
    </row>
    <row r="192" spans="1:16" ht="13.2" customHeight="1" x14ac:dyDescent="0.25">
      <c r="A192" s="33">
        <v>190</v>
      </c>
      <c r="B192" s="34" t="s">
        <v>3981</v>
      </c>
      <c r="C192" s="35"/>
      <c r="D192" s="34" t="s">
        <v>3312</v>
      </c>
      <c r="E192" s="34" t="s">
        <v>3249</v>
      </c>
      <c r="F192" s="34" t="s">
        <v>3250</v>
      </c>
      <c r="G192" s="34" t="s">
        <v>3251</v>
      </c>
      <c r="H192" s="34" t="s">
        <v>3285</v>
      </c>
      <c r="I192" s="33" t="s">
        <v>84</v>
      </c>
      <c r="J192" s="34" t="s">
        <v>3982</v>
      </c>
      <c r="K192" s="35"/>
      <c r="L192" s="34" t="s">
        <v>2970</v>
      </c>
      <c r="M192" s="35" t="s">
        <v>29</v>
      </c>
      <c r="N192" s="34" t="s">
        <v>3983</v>
      </c>
      <c r="O192" s="35" t="s">
        <v>816</v>
      </c>
      <c r="P192" s="35" t="s">
        <v>2711</v>
      </c>
    </row>
    <row r="193" spans="1:16" ht="13.2" customHeight="1" x14ac:dyDescent="0.25">
      <c r="A193" s="33">
        <v>191</v>
      </c>
      <c r="B193" s="34" t="s">
        <v>3984</v>
      </c>
      <c r="C193" s="35"/>
      <c r="D193" s="34" t="s">
        <v>3251</v>
      </c>
      <c r="E193" s="34" t="s">
        <v>3285</v>
      </c>
      <c r="F193" s="34" t="s">
        <v>3305</v>
      </c>
      <c r="G193" s="34" t="s">
        <v>3242</v>
      </c>
      <c r="H193" s="34" t="s">
        <v>3244</v>
      </c>
      <c r="I193" s="33" t="s">
        <v>84</v>
      </c>
      <c r="J193" s="34" t="s">
        <v>3985</v>
      </c>
      <c r="K193" s="35"/>
      <c r="L193" s="34" t="s">
        <v>2970</v>
      </c>
      <c r="M193" s="35" t="s">
        <v>29</v>
      </c>
      <c r="N193" s="34" t="s">
        <v>3986</v>
      </c>
      <c r="O193" s="35" t="s">
        <v>816</v>
      </c>
      <c r="P193" s="35" t="s">
        <v>2711</v>
      </c>
    </row>
    <row r="194" spans="1:16" ht="13.2" customHeight="1" x14ac:dyDescent="0.25">
      <c r="A194" s="33">
        <v>192</v>
      </c>
      <c r="B194" s="34" t="s">
        <v>3987</v>
      </c>
      <c r="C194" s="35"/>
      <c r="D194" s="34" t="s">
        <v>3988</v>
      </c>
      <c r="E194" s="34" t="s">
        <v>3989</v>
      </c>
      <c r="F194" s="34" t="s">
        <v>3990</v>
      </c>
      <c r="G194" s="34" t="s">
        <v>3991</v>
      </c>
      <c r="H194" s="34" t="s">
        <v>3992</v>
      </c>
      <c r="I194" s="33">
        <v>1</v>
      </c>
      <c r="J194" s="34" t="s">
        <v>3993</v>
      </c>
      <c r="K194" s="35"/>
      <c r="L194" s="34" t="s">
        <v>3732</v>
      </c>
      <c r="M194" s="35" t="s">
        <v>29</v>
      </c>
      <c r="N194" s="34" t="s">
        <v>3994</v>
      </c>
      <c r="O194" s="35" t="s">
        <v>816</v>
      </c>
      <c r="P194" s="35" t="s">
        <v>2711</v>
      </c>
    </row>
    <row r="195" spans="1:16" ht="13.2" customHeight="1" x14ac:dyDescent="0.25">
      <c r="A195" s="33">
        <v>193</v>
      </c>
      <c r="B195" s="34" t="s">
        <v>3995</v>
      </c>
      <c r="C195" s="35"/>
      <c r="D195" s="34" t="s">
        <v>3988</v>
      </c>
      <c r="E195" s="34" t="s">
        <v>3991</v>
      </c>
      <c r="F195" s="34" t="s">
        <v>3990</v>
      </c>
      <c r="G195" s="34" t="s">
        <v>3996</v>
      </c>
      <c r="H195" s="34" t="s">
        <v>3997</v>
      </c>
      <c r="I195" s="33">
        <v>1</v>
      </c>
      <c r="J195" s="34" t="s">
        <v>3998</v>
      </c>
      <c r="K195" s="35"/>
      <c r="L195" s="34" t="s">
        <v>3732</v>
      </c>
      <c r="M195" s="35" t="s">
        <v>29</v>
      </c>
      <c r="N195" s="34" t="s">
        <v>3999</v>
      </c>
      <c r="O195" s="35" t="s">
        <v>816</v>
      </c>
      <c r="P195" s="35" t="s">
        <v>2711</v>
      </c>
    </row>
    <row r="196" spans="1:16" ht="13.2" customHeight="1" x14ac:dyDescent="0.25">
      <c r="A196" s="33">
        <v>194</v>
      </c>
      <c r="B196" s="34" t="s">
        <v>4000</v>
      </c>
      <c r="C196" s="35"/>
      <c r="D196" s="34" t="s">
        <v>4001</v>
      </c>
      <c r="E196" s="34" t="s">
        <v>4002</v>
      </c>
      <c r="F196" s="34" t="s">
        <v>4003</v>
      </c>
      <c r="G196" s="34" t="s">
        <v>4004</v>
      </c>
      <c r="H196" s="34" t="s">
        <v>4005</v>
      </c>
      <c r="I196" s="33">
        <v>3</v>
      </c>
      <c r="J196" s="34" t="s">
        <v>4006</v>
      </c>
      <c r="K196" s="35"/>
      <c r="L196" s="34" t="s">
        <v>2931</v>
      </c>
      <c r="M196" s="35" t="s">
        <v>29</v>
      </c>
      <c r="N196" s="34" t="s">
        <v>3936</v>
      </c>
      <c r="O196" s="35" t="s">
        <v>816</v>
      </c>
      <c r="P196" s="35" t="s">
        <v>2711</v>
      </c>
    </row>
    <row r="197" spans="1:16" ht="13.2" customHeight="1" x14ac:dyDescent="0.25">
      <c r="A197" s="33">
        <v>195</v>
      </c>
      <c r="B197" s="34" t="s">
        <v>4007</v>
      </c>
      <c r="C197" s="35"/>
      <c r="D197" s="34" t="s">
        <v>4008</v>
      </c>
      <c r="E197" s="34" t="s">
        <v>4009</v>
      </c>
      <c r="F197" s="34" t="s">
        <v>4010</v>
      </c>
      <c r="G197" s="34" t="s">
        <v>4011</v>
      </c>
      <c r="H197" s="34" t="s">
        <v>4012</v>
      </c>
      <c r="I197" s="33" t="s">
        <v>84</v>
      </c>
      <c r="J197" s="34" t="s">
        <v>4013</v>
      </c>
      <c r="K197" s="35"/>
      <c r="L197" s="34" t="s">
        <v>2931</v>
      </c>
      <c r="M197" s="35" t="s">
        <v>29</v>
      </c>
      <c r="N197" s="34" t="s">
        <v>2655</v>
      </c>
      <c r="O197" s="35" t="s">
        <v>816</v>
      </c>
      <c r="P197" s="35" t="s">
        <v>2711</v>
      </c>
    </row>
    <row r="198" spans="1:16" ht="13.2" customHeight="1" x14ac:dyDescent="0.25">
      <c r="A198" s="33">
        <v>196</v>
      </c>
      <c r="B198" s="34" t="s">
        <v>4014</v>
      </c>
      <c r="C198" s="35"/>
      <c r="D198" s="34" t="s">
        <v>4015</v>
      </c>
      <c r="E198" s="34" t="s">
        <v>4016</v>
      </c>
      <c r="F198" s="34" t="s">
        <v>3010</v>
      </c>
      <c r="G198" s="34" t="s">
        <v>4017</v>
      </c>
      <c r="H198" s="34" t="s">
        <v>4018</v>
      </c>
      <c r="I198" s="33" t="s">
        <v>90</v>
      </c>
      <c r="J198" s="34" t="s">
        <v>4019</v>
      </c>
      <c r="K198" s="35"/>
      <c r="L198" s="34" t="s">
        <v>2931</v>
      </c>
      <c r="M198" s="35" t="s">
        <v>29</v>
      </c>
      <c r="N198" s="34" t="s">
        <v>1669</v>
      </c>
      <c r="O198" s="35" t="s">
        <v>816</v>
      </c>
      <c r="P198" s="35" t="s">
        <v>2711</v>
      </c>
    </row>
    <row r="199" spans="1:16" ht="13.2" customHeight="1" x14ac:dyDescent="0.25">
      <c r="A199" s="33">
        <v>197</v>
      </c>
      <c r="B199" s="34" t="s">
        <v>4020</v>
      </c>
      <c r="C199" s="35"/>
      <c r="D199" s="34" t="s">
        <v>2967</v>
      </c>
      <c r="E199" s="34" t="s">
        <v>2721</v>
      </c>
      <c r="F199" s="34" t="s">
        <v>4021</v>
      </c>
      <c r="G199" s="34" t="s">
        <v>4022</v>
      </c>
      <c r="H199" s="34" t="s">
        <v>4023</v>
      </c>
      <c r="I199" s="33" t="s">
        <v>84</v>
      </c>
      <c r="J199" s="34" t="s">
        <v>4024</v>
      </c>
      <c r="K199" s="35"/>
      <c r="L199" s="34" t="s">
        <v>2970</v>
      </c>
      <c r="M199" s="35" t="s">
        <v>29</v>
      </c>
      <c r="N199" s="34" t="s">
        <v>3951</v>
      </c>
      <c r="O199" s="35" t="s">
        <v>816</v>
      </c>
      <c r="P199" s="35" t="s">
        <v>2711</v>
      </c>
    </row>
    <row r="200" spans="1:16" ht="13.2" customHeight="1" x14ac:dyDescent="0.25">
      <c r="A200" s="33">
        <v>198</v>
      </c>
      <c r="B200" s="34" t="s">
        <v>4025</v>
      </c>
      <c r="C200" s="35"/>
      <c r="D200" s="34" t="s">
        <v>3364</v>
      </c>
      <c r="E200" s="34" t="s">
        <v>4026</v>
      </c>
      <c r="F200" s="34" t="s">
        <v>4027</v>
      </c>
      <c r="G200" s="34" t="s">
        <v>4028</v>
      </c>
      <c r="H200" s="34" t="s">
        <v>2721</v>
      </c>
      <c r="I200" s="33" t="s">
        <v>113</v>
      </c>
      <c r="J200" s="34" t="s">
        <v>4029</v>
      </c>
      <c r="K200" s="35"/>
      <c r="L200" s="34" t="s">
        <v>2931</v>
      </c>
      <c r="M200" s="35" t="s">
        <v>29</v>
      </c>
      <c r="N200" s="34" t="s">
        <v>4030</v>
      </c>
      <c r="O200" s="35" t="s">
        <v>816</v>
      </c>
      <c r="P200" s="35" t="s">
        <v>2711</v>
      </c>
    </row>
    <row r="201" spans="1:16" ht="13.2" customHeight="1" x14ac:dyDescent="0.25">
      <c r="A201" s="33">
        <v>199</v>
      </c>
      <c r="B201" s="34" t="s">
        <v>4031</v>
      </c>
      <c r="C201" s="35"/>
      <c r="D201" s="34" t="s">
        <v>3311</v>
      </c>
      <c r="E201" s="34" t="s">
        <v>3312</v>
      </c>
      <c r="F201" s="34" t="s">
        <v>3249</v>
      </c>
      <c r="G201" s="34" t="s">
        <v>3250</v>
      </c>
      <c r="H201" s="34" t="s">
        <v>3251</v>
      </c>
      <c r="I201" s="33" t="s">
        <v>84</v>
      </c>
      <c r="J201" s="34" t="s">
        <v>4032</v>
      </c>
      <c r="K201" s="35"/>
      <c r="L201" s="34" t="s">
        <v>3170</v>
      </c>
      <c r="M201" s="35" t="s">
        <v>29</v>
      </c>
      <c r="N201" s="34" t="s">
        <v>4033</v>
      </c>
      <c r="O201" s="35" t="s">
        <v>816</v>
      </c>
      <c r="P201" s="35" t="s">
        <v>2711</v>
      </c>
    </row>
    <row r="202" spans="1:16" ht="13.2" customHeight="1" x14ac:dyDescent="0.25">
      <c r="A202" s="33">
        <v>200</v>
      </c>
      <c r="B202" s="34" t="s">
        <v>4034</v>
      </c>
      <c r="C202" s="35"/>
      <c r="D202" s="34" t="s">
        <v>3250</v>
      </c>
      <c r="E202" s="34" t="s">
        <v>3251</v>
      </c>
      <c r="F202" s="34" t="s">
        <v>3285</v>
      </c>
      <c r="G202" s="34" t="s">
        <v>3305</v>
      </c>
      <c r="H202" s="34" t="s">
        <v>3242</v>
      </c>
      <c r="I202" s="33" t="s">
        <v>84</v>
      </c>
      <c r="J202" s="34" t="s">
        <v>4035</v>
      </c>
      <c r="K202" s="35"/>
      <c r="L202" s="34" t="s">
        <v>2719</v>
      </c>
      <c r="M202" s="35" t="s">
        <v>29</v>
      </c>
      <c r="N202" s="34" t="s">
        <v>3936</v>
      </c>
      <c r="O202" s="35" t="s">
        <v>816</v>
      </c>
      <c r="P202" s="35" t="s">
        <v>2711</v>
      </c>
    </row>
    <row r="203" spans="1:16" ht="13.2" customHeight="1" x14ac:dyDescent="0.25">
      <c r="A203" s="33">
        <v>201</v>
      </c>
      <c r="B203" s="34" t="s">
        <v>4036</v>
      </c>
      <c r="C203" s="35"/>
      <c r="D203" s="34" t="s">
        <v>4037</v>
      </c>
      <c r="E203" s="34" t="s">
        <v>4038</v>
      </c>
      <c r="F203" s="34" t="s">
        <v>4039</v>
      </c>
      <c r="G203" s="34" t="s">
        <v>3756</v>
      </c>
      <c r="H203" s="34" t="s">
        <v>3305</v>
      </c>
      <c r="I203" s="33">
        <v>1</v>
      </c>
      <c r="J203" s="34" t="s">
        <v>4040</v>
      </c>
      <c r="K203" s="35"/>
      <c r="L203" s="34" t="s">
        <v>2719</v>
      </c>
      <c r="M203" s="35" t="s">
        <v>29</v>
      </c>
      <c r="N203" s="34" t="s">
        <v>3900</v>
      </c>
      <c r="O203" s="35" t="s">
        <v>816</v>
      </c>
      <c r="P203" s="35" t="s">
        <v>2711</v>
      </c>
    </row>
    <row r="204" spans="1:16" ht="13.2" customHeight="1" x14ac:dyDescent="0.25">
      <c r="A204" s="33">
        <v>202</v>
      </c>
      <c r="B204" s="34" t="s">
        <v>4041</v>
      </c>
      <c r="C204" s="35"/>
      <c r="D204" s="34" t="s">
        <v>4042</v>
      </c>
      <c r="E204" s="34" t="s">
        <v>4043</v>
      </c>
      <c r="F204" s="34" t="s">
        <v>3008</v>
      </c>
      <c r="G204" s="34" t="s">
        <v>4015</v>
      </c>
      <c r="H204" s="34" t="s">
        <v>4044</v>
      </c>
      <c r="I204" s="33">
        <v>1</v>
      </c>
      <c r="J204" s="34" t="s">
        <v>4045</v>
      </c>
      <c r="K204" s="35"/>
      <c r="L204" s="34" t="s">
        <v>2719</v>
      </c>
      <c r="M204" s="35" t="s">
        <v>29</v>
      </c>
      <c r="N204" s="34" t="s">
        <v>2655</v>
      </c>
      <c r="O204" s="35" t="s">
        <v>816</v>
      </c>
      <c r="P204" s="35" t="s">
        <v>2711</v>
      </c>
    </row>
    <row r="205" spans="1:16" ht="13.2" customHeight="1" x14ac:dyDescent="0.25">
      <c r="A205" s="33">
        <v>203</v>
      </c>
      <c r="B205" s="34" t="s">
        <v>4046</v>
      </c>
      <c r="C205" s="35"/>
      <c r="D205" s="34" t="s">
        <v>4047</v>
      </c>
      <c r="E205" s="34" t="s">
        <v>4048</v>
      </c>
      <c r="F205" s="34" t="s">
        <v>4049</v>
      </c>
      <c r="G205" s="34" t="s">
        <v>4050</v>
      </c>
      <c r="H205" s="34" t="s">
        <v>4051</v>
      </c>
      <c r="I205" s="33">
        <v>1</v>
      </c>
      <c r="J205" s="34" t="s">
        <v>4052</v>
      </c>
      <c r="K205" s="35"/>
      <c r="L205" s="34" t="s">
        <v>2719</v>
      </c>
      <c r="M205" s="35" t="s">
        <v>29</v>
      </c>
      <c r="N205" s="34" t="s">
        <v>3887</v>
      </c>
      <c r="O205" s="35" t="s">
        <v>816</v>
      </c>
      <c r="P205" s="35" t="s">
        <v>2711</v>
      </c>
    </row>
    <row r="206" spans="1:16" ht="13.2" customHeight="1" x14ac:dyDescent="0.25">
      <c r="A206" s="33">
        <v>204</v>
      </c>
      <c r="B206" s="34" t="s">
        <v>4053</v>
      </c>
      <c r="C206" s="35"/>
      <c r="D206" s="34" t="s">
        <v>4054</v>
      </c>
      <c r="E206" s="34" t="s">
        <v>4055</v>
      </c>
      <c r="F206" s="34" t="s">
        <v>4056</v>
      </c>
      <c r="G206" s="34" t="s">
        <v>4057</v>
      </c>
      <c r="H206" s="34" t="s">
        <v>4058</v>
      </c>
      <c r="I206" s="33">
        <v>1</v>
      </c>
      <c r="J206" s="34" t="s">
        <v>4059</v>
      </c>
      <c r="K206" s="35"/>
      <c r="L206" s="34" t="s">
        <v>2719</v>
      </c>
      <c r="M206" s="35" t="s">
        <v>29</v>
      </c>
      <c r="N206" s="34" t="s">
        <v>3951</v>
      </c>
      <c r="O206" s="35" t="s">
        <v>816</v>
      </c>
      <c r="P206" s="35" t="s">
        <v>2711</v>
      </c>
    </row>
    <row r="207" spans="1:16" ht="13.2" customHeight="1" x14ac:dyDescent="0.25">
      <c r="A207" s="33">
        <v>205</v>
      </c>
      <c r="B207" s="34" t="s">
        <v>4060</v>
      </c>
      <c r="C207" s="35"/>
      <c r="D207" s="34" t="s">
        <v>4044</v>
      </c>
      <c r="E207" s="34" t="s">
        <v>4061</v>
      </c>
      <c r="F207" s="34" t="s">
        <v>3008</v>
      </c>
      <c r="G207" s="34" t="s">
        <v>4062</v>
      </c>
      <c r="H207" s="34" t="s">
        <v>4063</v>
      </c>
      <c r="I207" s="33">
        <v>1</v>
      </c>
      <c r="J207" s="34" t="s">
        <v>4064</v>
      </c>
      <c r="K207" s="35"/>
      <c r="L207" s="34" t="s">
        <v>3473</v>
      </c>
      <c r="M207" s="35" t="s">
        <v>29</v>
      </c>
      <c r="N207" s="34" t="s">
        <v>4065</v>
      </c>
      <c r="O207" s="35" t="s">
        <v>816</v>
      </c>
      <c r="P207" s="35" t="s">
        <v>2711</v>
      </c>
    </row>
    <row r="208" spans="1:16" ht="13.2" customHeight="1" x14ac:dyDescent="0.25">
      <c r="A208" s="33">
        <v>206</v>
      </c>
      <c r="B208" s="34" t="s">
        <v>4066</v>
      </c>
      <c r="C208" s="35"/>
      <c r="D208" s="34" t="s">
        <v>4067</v>
      </c>
      <c r="E208" s="34" t="s">
        <v>4068</v>
      </c>
      <c r="F208" s="34" t="s">
        <v>4069</v>
      </c>
      <c r="G208" s="34" t="s">
        <v>4070</v>
      </c>
      <c r="H208" s="34" t="s">
        <v>4071</v>
      </c>
      <c r="I208" s="33">
        <v>1</v>
      </c>
      <c r="J208" s="34" t="s">
        <v>4072</v>
      </c>
      <c r="K208" s="35"/>
      <c r="L208" s="34" t="s">
        <v>3658</v>
      </c>
      <c r="M208" s="35" t="s">
        <v>29</v>
      </c>
      <c r="N208" s="34" t="s">
        <v>2655</v>
      </c>
      <c r="O208" s="35" t="s">
        <v>816</v>
      </c>
      <c r="P208" s="35" t="s">
        <v>2711</v>
      </c>
    </row>
    <row r="209" spans="1:16" ht="13.2" customHeight="1" x14ac:dyDescent="0.25">
      <c r="A209" s="33">
        <v>207</v>
      </c>
      <c r="B209" s="34" t="s">
        <v>4073</v>
      </c>
      <c r="C209" s="35"/>
      <c r="D209" s="34" t="s">
        <v>4074</v>
      </c>
      <c r="E209" s="34" t="s">
        <v>4075</v>
      </c>
      <c r="F209" s="34" t="s">
        <v>4076</v>
      </c>
      <c r="G209" s="34" t="s">
        <v>4077</v>
      </c>
      <c r="H209" s="34" t="s">
        <v>4078</v>
      </c>
      <c r="I209" s="33">
        <v>2</v>
      </c>
      <c r="J209" s="34" t="s">
        <v>4079</v>
      </c>
      <c r="K209" s="35"/>
      <c r="L209" s="34" t="s">
        <v>4080</v>
      </c>
      <c r="M209" s="35" t="s">
        <v>29</v>
      </c>
      <c r="N209" s="34" t="s">
        <v>1669</v>
      </c>
      <c r="O209" s="35" t="s">
        <v>816</v>
      </c>
      <c r="P209" s="35" t="s">
        <v>2711</v>
      </c>
    </row>
    <row r="210" spans="1:16" ht="13.2" customHeight="1" x14ac:dyDescent="0.25">
      <c r="A210" s="33">
        <v>208</v>
      </c>
      <c r="B210" s="34" t="s">
        <v>4081</v>
      </c>
      <c r="C210" s="35"/>
      <c r="D210" s="34" t="s">
        <v>4082</v>
      </c>
      <c r="E210" s="34" t="s">
        <v>4083</v>
      </c>
      <c r="F210" s="34" t="s">
        <v>4084</v>
      </c>
      <c r="G210" s="34" t="s">
        <v>4085</v>
      </c>
      <c r="H210" s="34" t="s">
        <v>4086</v>
      </c>
      <c r="I210" s="33" t="s">
        <v>96</v>
      </c>
      <c r="J210" s="34" t="s">
        <v>4087</v>
      </c>
      <c r="K210" s="35"/>
      <c r="L210" s="34" t="s">
        <v>2970</v>
      </c>
      <c r="M210" s="35" t="s">
        <v>29</v>
      </c>
      <c r="N210" s="34" t="s">
        <v>3959</v>
      </c>
      <c r="O210" s="35" t="s">
        <v>816</v>
      </c>
      <c r="P210" s="35" t="s">
        <v>2711</v>
      </c>
    </row>
    <row r="211" spans="1:16" ht="13.2" customHeight="1" x14ac:dyDescent="0.25">
      <c r="A211" s="33">
        <v>209</v>
      </c>
      <c r="B211" s="34" t="s">
        <v>4088</v>
      </c>
      <c r="C211" s="35"/>
      <c r="D211" s="34" t="s">
        <v>4089</v>
      </c>
      <c r="E211" s="34" t="s">
        <v>4090</v>
      </c>
      <c r="F211" s="34" t="s">
        <v>4091</v>
      </c>
      <c r="G211" s="34" t="s">
        <v>2534</v>
      </c>
      <c r="H211" s="34" t="s">
        <v>4092</v>
      </c>
      <c r="I211" s="33" t="s">
        <v>84</v>
      </c>
      <c r="J211" s="34" t="s">
        <v>4093</v>
      </c>
      <c r="K211" s="35"/>
      <c r="L211" s="34" t="s">
        <v>2970</v>
      </c>
      <c r="M211" s="35" t="s">
        <v>29</v>
      </c>
      <c r="N211" s="34" t="s">
        <v>3900</v>
      </c>
      <c r="O211" s="35" t="s">
        <v>816</v>
      </c>
      <c r="P211" s="35" t="s">
        <v>2711</v>
      </c>
    </row>
    <row r="212" spans="1:16" ht="13.2" customHeight="1" x14ac:dyDescent="0.25">
      <c r="A212" s="33">
        <v>210</v>
      </c>
      <c r="B212" s="34" t="s">
        <v>4094</v>
      </c>
      <c r="C212" s="35"/>
      <c r="D212" s="34" t="s">
        <v>4095</v>
      </c>
      <c r="E212" s="34" t="s">
        <v>3470</v>
      </c>
      <c r="F212" s="34" t="s">
        <v>4096</v>
      </c>
      <c r="G212" s="34" t="s">
        <v>4097</v>
      </c>
      <c r="H212" s="34" t="s">
        <v>4098</v>
      </c>
      <c r="I212" s="33" t="s">
        <v>84</v>
      </c>
      <c r="J212" s="34" t="s">
        <v>4099</v>
      </c>
      <c r="K212" s="35"/>
      <c r="L212" s="34" t="s">
        <v>2970</v>
      </c>
      <c r="M212" s="35" t="s">
        <v>29</v>
      </c>
      <c r="N212" s="34" t="s">
        <v>2655</v>
      </c>
      <c r="O212" s="35" t="s">
        <v>816</v>
      </c>
      <c r="P212" s="35" t="s">
        <v>2711</v>
      </c>
    </row>
    <row r="213" spans="1:16" ht="13.2" customHeight="1" x14ac:dyDescent="0.25">
      <c r="A213" s="33">
        <v>211</v>
      </c>
      <c r="B213" s="34" t="s">
        <v>4100</v>
      </c>
      <c r="C213" s="35"/>
      <c r="D213" s="34" t="s">
        <v>4095</v>
      </c>
      <c r="E213" s="34" t="s">
        <v>3470</v>
      </c>
      <c r="F213" s="34" t="s">
        <v>4096</v>
      </c>
      <c r="G213" s="34" t="s">
        <v>4101</v>
      </c>
      <c r="H213" s="34" t="s">
        <v>4102</v>
      </c>
      <c r="I213" s="33" t="s">
        <v>84</v>
      </c>
      <c r="J213" s="34" t="s">
        <v>4103</v>
      </c>
      <c r="K213" s="35"/>
      <c r="L213" s="34" t="s">
        <v>2970</v>
      </c>
      <c r="M213" s="35" t="s">
        <v>29</v>
      </c>
      <c r="N213" s="34" t="s">
        <v>3951</v>
      </c>
      <c r="O213" s="35" t="s">
        <v>816</v>
      </c>
      <c r="P213" s="35" t="s">
        <v>2711</v>
      </c>
    </row>
    <row r="214" spans="1:16" ht="13.2" customHeight="1" x14ac:dyDescent="0.25">
      <c r="A214" s="33">
        <v>212</v>
      </c>
      <c r="B214" s="34" t="s">
        <v>4104</v>
      </c>
      <c r="C214" s="35"/>
      <c r="D214" s="34" t="s">
        <v>4105</v>
      </c>
      <c r="E214" s="34" t="s">
        <v>4106</v>
      </c>
      <c r="F214" s="34" t="s">
        <v>4107</v>
      </c>
      <c r="G214" s="34" t="s">
        <v>4108</v>
      </c>
      <c r="H214" s="34" t="s">
        <v>4109</v>
      </c>
      <c r="I214" s="33">
        <v>1</v>
      </c>
      <c r="J214" s="34" t="s">
        <v>4110</v>
      </c>
      <c r="K214" s="35"/>
      <c r="L214" s="34" t="s">
        <v>3827</v>
      </c>
      <c r="M214" s="35" t="s">
        <v>29</v>
      </c>
      <c r="N214" s="34" t="s">
        <v>1669</v>
      </c>
      <c r="O214" s="35" t="s">
        <v>816</v>
      </c>
      <c r="P214" s="35" t="s">
        <v>2711</v>
      </c>
    </row>
    <row r="215" spans="1:16" ht="13.2" customHeight="1" x14ac:dyDescent="0.25">
      <c r="A215" s="33">
        <v>213</v>
      </c>
      <c r="B215" s="34" t="s">
        <v>4111</v>
      </c>
      <c r="C215" s="35"/>
      <c r="D215" s="34" t="s">
        <v>3311</v>
      </c>
      <c r="E215" s="34" t="s">
        <v>3312</v>
      </c>
      <c r="F215" s="34" t="s">
        <v>3249</v>
      </c>
      <c r="G215" s="34" t="s">
        <v>3250</v>
      </c>
      <c r="H215" s="34" t="s">
        <v>3251</v>
      </c>
      <c r="I215" s="33" t="s">
        <v>123</v>
      </c>
      <c r="J215" s="34" t="s">
        <v>4112</v>
      </c>
      <c r="K215" s="35"/>
      <c r="L215" s="34" t="s">
        <v>2970</v>
      </c>
      <c r="M215" s="35" t="s">
        <v>29</v>
      </c>
      <c r="N215" s="34" t="s">
        <v>1669</v>
      </c>
      <c r="O215" s="35" t="s">
        <v>816</v>
      </c>
      <c r="P215" s="35" t="s">
        <v>2711</v>
      </c>
    </row>
    <row r="216" spans="1:16" ht="13.2" customHeight="1" x14ac:dyDescent="0.25">
      <c r="A216" s="33">
        <v>214</v>
      </c>
      <c r="B216" s="34" t="s">
        <v>4113</v>
      </c>
      <c r="C216" s="35"/>
      <c r="D216" s="34" t="s">
        <v>3250</v>
      </c>
      <c r="E216" s="34" t="s">
        <v>3251</v>
      </c>
      <c r="F216" s="34" t="s">
        <v>3285</v>
      </c>
      <c r="G216" s="34" t="s">
        <v>3305</v>
      </c>
      <c r="H216" s="34" t="s">
        <v>3242</v>
      </c>
      <c r="I216" s="33" t="s">
        <v>84</v>
      </c>
      <c r="J216" s="34" t="s">
        <v>4114</v>
      </c>
      <c r="K216" s="35"/>
      <c r="L216" s="34" t="s">
        <v>2970</v>
      </c>
      <c r="M216" s="35" t="s">
        <v>29</v>
      </c>
      <c r="N216" s="34" t="s">
        <v>3936</v>
      </c>
      <c r="O216" s="35" t="s">
        <v>816</v>
      </c>
      <c r="P216" s="35" t="s">
        <v>2711</v>
      </c>
    </row>
    <row r="217" spans="1:16" ht="13.2" customHeight="1" x14ac:dyDescent="0.25">
      <c r="A217" s="33">
        <v>215</v>
      </c>
      <c r="B217" s="34" t="s">
        <v>4115</v>
      </c>
      <c r="C217" s="35"/>
      <c r="D217" s="34" t="s">
        <v>4116</v>
      </c>
      <c r="E217" s="34" t="s">
        <v>4117</v>
      </c>
      <c r="F217" s="34" t="s">
        <v>4118</v>
      </c>
      <c r="G217" s="34" t="s">
        <v>4119</v>
      </c>
      <c r="H217" s="34" t="s">
        <v>4120</v>
      </c>
      <c r="I217" s="33">
        <v>5</v>
      </c>
      <c r="J217" s="34" t="s">
        <v>4121</v>
      </c>
      <c r="K217" s="35"/>
      <c r="L217" s="34" t="s">
        <v>3346</v>
      </c>
      <c r="M217" s="35" t="s">
        <v>29</v>
      </c>
      <c r="N217" s="34" t="s">
        <v>3900</v>
      </c>
      <c r="O217" s="35" t="s">
        <v>816</v>
      </c>
      <c r="P217" s="35" t="s">
        <v>2711</v>
      </c>
    </row>
    <row r="218" spans="1:16" ht="13.2" customHeight="1" x14ac:dyDescent="0.25">
      <c r="A218" s="33">
        <v>216</v>
      </c>
      <c r="B218" s="34" t="s">
        <v>4122</v>
      </c>
      <c r="C218" s="35"/>
      <c r="D218" s="34" t="s">
        <v>4123</v>
      </c>
      <c r="E218" s="34" t="s">
        <v>290</v>
      </c>
      <c r="F218" s="34" t="s">
        <v>4124</v>
      </c>
      <c r="G218" s="34" t="s">
        <v>3813</v>
      </c>
      <c r="H218" s="34" t="s">
        <v>4125</v>
      </c>
      <c r="I218" s="33">
        <v>1</v>
      </c>
      <c r="J218" s="34" t="s">
        <v>4126</v>
      </c>
      <c r="K218" s="35"/>
      <c r="L218" s="34" t="s">
        <v>3346</v>
      </c>
      <c r="M218" s="35" t="s">
        <v>29</v>
      </c>
      <c r="N218" s="34" t="s">
        <v>3900</v>
      </c>
      <c r="O218" s="35" t="s">
        <v>816</v>
      </c>
      <c r="P218" s="35" t="s">
        <v>2711</v>
      </c>
    </row>
    <row r="219" spans="1:16" ht="13.2" customHeight="1" x14ac:dyDescent="0.25">
      <c r="A219" s="33">
        <v>217</v>
      </c>
      <c r="B219" s="34" t="s">
        <v>4127</v>
      </c>
      <c r="C219" s="35"/>
      <c r="D219" s="34" t="s">
        <v>4128</v>
      </c>
      <c r="E219" s="34" t="s">
        <v>4129</v>
      </c>
      <c r="F219" s="34" t="s">
        <v>4130</v>
      </c>
      <c r="G219" s="34" t="s">
        <v>4131</v>
      </c>
      <c r="H219" s="34" t="s">
        <v>4132</v>
      </c>
      <c r="I219" s="33">
        <v>1</v>
      </c>
      <c r="J219" s="34" t="s">
        <v>4133</v>
      </c>
      <c r="K219" s="35"/>
      <c r="L219" s="34" t="s">
        <v>4134</v>
      </c>
      <c r="M219" s="35" t="s">
        <v>29</v>
      </c>
      <c r="N219" s="34" t="s">
        <v>3936</v>
      </c>
      <c r="O219" s="35" t="s">
        <v>816</v>
      </c>
      <c r="P219" s="35" t="s">
        <v>2711</v>
      </c>
    </row>
    <row r="220" spans="1:16" ht="13.2" customHeight="1" x14ac:dyDescent="0.25">
      <c r="A220" s="33">
        <v>218</v>
      </c>
      <c r="B220" s="34" t="s">
        <v>4135</v>
      </c>
      <c r="C220" s="35"/>
      <c r="D220" s="34" t="s">
        <v>3438</v>
      </c>
      <c r="E220" s="34" t="s">
        <v>4136</v>
      </c>
      <c r="F220" s="34" t="s">
        <v>4137</v>
      </c>
      <c r="G220" s="34" t="s">
        <v>3410</v>
      </c>
      <c r="H220" s="34" t="s">
        <v>4138</v>
      </c>
      <c r="I220" s="33" t="s">
        <v>84</v>
      </c>
      <c r="J220" s="34" t="s">
        <v>4139</v>
      </c>
      <c r="K220" s="35"/>
      <c r="L220" s="34" t="s">
        <v>2970</v>
      </c>
      <c r="M220" s="35" t="s">
        <v>29</v>
      </c>
      <c r="N220" s="34" t="s">
        <v>4140</v>
      </c>
      <c r="O220" s="35" t="s">
        <v>816</v>
      </c>
      <c r="P220" s="35" t="s">
        <v>2711</v>
      </c>
    </row>
    <row r="221" spans="1:16" ht="13.2" customHeight="1" x14ac:dyDescent="0.25">
      <c r="A221" s="33">
        <v>219</v>
      </c>
      <c r="B221" s="34" t="s">
        <v>4141</v>
      </c>
      <c r="C221" s="35"/>
      <c r="D221" s="34" t="s">
        <v>3431</v>
      </c>
      <c r="E221" s="34" t="s">
        <v>3432</v>
      </c>
      <c r="F221" s="34" t="s">
        <v>3433</v>
      </c>
      <c r="G221" s="34" t="s">
        <v>3434</v>
      </c>
      <c r="H221" s="34" t="s">
        <v>4142</v>
      </c>
      <c r="I221" s="33" t="s">
        <v>123</v>
      </c>
      <c r="J221" s="34" t="s">
        <v>4143</v>
      </c>
      <c r="K221" s="35"/>
      <c r="L221" s="34" t="s">
        <v>2970</v>
      </c>
      <c r="M221" s="35" t="s">
        <v>29</v>
      </c>
      <c r="N221" s="34" t="s">
        <v>4144</v>
      </c>
      <c r="O221" s="35" t="s">
        <v>816</v>
      </c>
      <c r="P221" s="35" t="s">
        <v>2711</v>
      </c>
    </row>
    <row r="222" spans="1:16" ht="13.2" customHeight="1" x14ac:dyDescent="0.25">
      <c r="A222" s="33">
        <v>220</v>
      </c>
      <c r="B222" s="34" t="s">
        <v>4145</v>
      </c>
      <c r="C222" s="35"/>
      <c r="D222" s="34" t="s">
        <v>4146</v>
      </c>
      <c r="E222" s="34" t="s">
        <v>4147</v>
      </c>
      <c r="F222" s="34" t="s">
        <v>4148</v>
      </c>
      <c r="G222" s="34" t="s">
        <v>4149</v>
      </c>
      <c r="H222" s="34" t="s">
        <v>4150</v>
      </c>
      <c r="I222" s="33" t="s">
        <v>84</v>
      </c>
      <c r="J222" s="34" t="s">
        <v>4151</v>
      </c>
      <c r="K222" s="35"/>
      <c r="L222" s="34" t="s">
        <v>2970</v>
      </c>
      <c r="M222" s="35" t="s">
        <v>29</v>
      </c>
      <c r="N222" s="34" t="s">
        <v>3900</v>
      </c>
      <c r="O222" s="35" t="s">
        <v>816</v>
      </c>
      <c r="P222" s="35" t="s">
        <v>2711</v>
      </c>
    </row>
    <row r="223" spans="1:16" ht="13.2" customHeight="1" x14ac:dyDescent="0.25">
      <c r="A223" s="33">
        <v>221</v>
      </c>
      <c r="B223" s="34" t="s">
        <v>4152</v>
      </c>
      <c r="C223" s="35"/>
      <c r="D223" s="34" t="s">
        <v>4153</v>
      </c>
      <c r="E223" s="34" t="s">
        <v>4154</v>
      </c>
      <c r="F223" s="34" t="s">
        <v>4155</v>
      </c>
      <c r="G223" s="34" t="s">
        <v>4156</v>
      </c>
      <c r="H223" s="34" t="s">
        <v>4157</v>
      </c>
      <c r="I223" s="33" t="s">
        <v>84</v>
      </c>
      <c r="J223" s="34" t="s">
        <v>4158</v>
      </c>
      <c r="K223" s="35"/>
      <c r="L223" s="34" t="s">
        <v>2970</v>
      </c>
      <c r="M223" s="35" t="s">
        <v>29</v>
      </c>
      <c r="N223" s="34" t="s">
        <v>2655</v>
      </c>
      <c r="O223" s="35" t="s">
        <v>816</v>
      </c>
      <c r="P223" s="35" t="s">
        <v>2711</v>
      </c>
    </row>
    <row r="224" spans="1:16" ht="13.2" customHeight="1" x14ac:dyDescent="0.25">
      <c r="A224" s="33">
        <v>222</v>
      </c>
      <c r="B224" s="34" t="s">
        <v>4159</v>
      </c>
      <c r="C224" s="35"/>
      <c r="D224" s="34" t="s">
        <v>4160</v>
      </c>
      <c r="E224" s="34" t="s">
        <v>4161</v>
      </c>
      <c r="F224" s="34" t="s">
        <v>4162</v>
      </c>
      <c r="G224" s="34" t="s">
        <v>4163</v>
      </c>
      <c r="H224" s="34" t="s">
        <v>4164</v>
      </c>
      <c r="I224" s="33">
        <v>4</v>
      </c>
      <c r="J224" s="34" t="s">
        <v>4165</v>
      </c>
      <c r="K224" s="35"/>
      <c r="L224" s="34" t="s">
        <v>4166</v>
      </c>
      <c r="M224" s="35" t="s">
        <v>29</v>
      </c>
      <c r="N224" s="34" t="s">
        <v>4167</v>
      </c>
      <c r="O224" s="35" t="s">
        <v>816</v>
      </c>
      <c r="P224" s="35" t="s">
        <v>2711</v>
      </c>
    </row>
    <row r="225" spans="1:14" ht="13.2" x14ac:dyDescent="0.25">
      <c r="A225">
        <v>223</v>
      </c>
      <c r="B225" t="s">
        <v>4168</v>
      </c>
      <c r="D225" t="s">
        <v>4169</v>
      </c>
      <c r="E225" t="s">
        <v>3250</v>
      </c>
      <c r="F225" t="s">
        <v>4170</v>
      </c>
      <c r="G225" t="s">
        <v>2929</v>
      </c>
      <c r="H225" t="s">
        <v>3199</v>
      </c>
      <c r="I225">
        <v>1</v>
      </c>
      <c r="J225" t="s">
        <v>4171</v>
      </c>
      <c r="L225" t="s">
        <v>4172</v>
      </c>
      <c r="M225" t="s">
        <v>29</v>
      </c>
      <c r="N225" t="s">
        <v>4173</v>
      </c>
    </row>
  </sheetData>
  <mergeCells count="1">
    <mergeCell ref="A1:F1"/>
  </mergeCells>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Q187"/>
  <sheetViews>
    <sheetView workbookViewId="0">
      <pane ySplit="2" topLeftCell="A164" activePane="bottomLeft" state="frozen"/>
      <selection pane="bottomLeft" activeCell="A3" sqref="A3:P187"/>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21.6" customHeight="1" x14ac:dyDescent="0.25">
      <c r="A3" s="33">
        <v>1</v>
      </c>
      <c r="B3" s="34" t="s">
        <v>4174</v>
      </c>
      <c r="C3" s="35"/>
      <c r="D3" s="34" t="s">
        <v>4175</v>
      </c>
      <c r="E3" s="34" t="s">
        <v>4176</v>
      </c>
      <c r="F3" s="34" t="s">
        <v>4177</v>
      </c>
      <c r="G3" s="34" t="s">
        <v>4178</v>
      </c>
      <c r="H3" s="34" t="s">
        <v>4179</v>
      </c>
      <c r="I3" s="33" t="s">
        <v>96</v>
      </c>
      <c r="J3" s="34" t="s">
        <v>4180</v>
      </c>
      <c r="K3" s="35"/>
      <c r="L3" s="34" t="s">
        <v>4181</v>
      </c>
      <c r="M3" s="35" t="s">
        <v>29</v>
      </c>
      <c r="N3" s="34" t="s">
        <v>4182</v>
      </c>
      <c r="O3" s="35" t="s">
        <v>164</v>
      </c>
      <c r="P3" s="33" t="s">
        <v>224</v>
      </c>
    </row>
    <row r="4" spans="1:16" ht="13.2" customHeight="1" x14ac:dyDescent="0.25">
      <c r="A4" s="33">
        <v>2</v>
      </c>
      <c r="B4" s="34" t="s">
        <v>4183</v>
      </c>
      <c r="C4" s="35"/>
      <c r="D4" s="34" t="s">
        <v>4184</v>
      </c>
      <c r="E4" s="34" t="s">
        <v>4185</v>
      </c>
      <c r="F4" s="34" t="s">
        <v>4186</v>
      </c>
      <c r="G4" s="34" t="s">
        <v>4187</v>
      </c>
      <c r="H4" s="34" t="s">
        <v>4188</v>
      </c>
      <c r="I4" s="33" t="s">
        <v>123</v>
      </c>
      <c r="J4" s="34" t="s">
        <v>4189</v>
      </c>
      <c r="K4" s="35"/>
      <c r="L4" s="34" t="s">
        <v>4181</v>
      </c>
      <c r="M4" s="35" t="s">
        <v>29</v>
      </c>
      <c r="N4" s="34" t="s">
        <v>4190</v>
      </c>
      <c r="O4" s="35" t="s">
        <v>816</v>
      </c>
      <c r="P4" s="35" t="s">
        <v>8</v>
      </c>
    </row>
    <row r="5" spans="1:16" ht="13.2" customHeight="1" x14ac:dyDescent="0.25">
      <c r="A5" s="33">
        <v>3</v>
      </c>
      <c r="B5" s="34" t="s">
        <v>4191</v>
      </c>
      <c r="C5" s="35"/>
      <c r="D5" s="34" t="s">
        <v>4192</v>
      </c>
      <c r="E5" s="34" t="s">
        <v>4193</v>
      </c>
      <c r="F5" s="34" t="s">
        <v>4194</v>
      </c>
      <c r="G5" s="34" t="s">
        <v>4195</v>
      </c>
      <c r="H5" s="34" t="s">
        <v>1645</v>
      </c>
      <c r="I5" s="33" t="s">
        <v>84</v>
      </c>
      <c r="J5" s="34" t="s">
        <v>4196</v>
      </c>
      <c r="K5" s="35"/>
      <c r="L5" s="34" t="s">
        <v>4181</v>
      </c>
      <c r="M5" s="35" t="s">
        <v>29</v>
      </c>
      <c r="N5" s="34" t="s">
        <v>4197</v>
      </c>
      <c r="O5" s="35" t="s">
        <v>816</v>
      </c>
      <c r="P5" s="35" t="s">
        <v>8</v>
      </c>
    </row>
    <row r="6" spans="1:16" ht="13.2" customHeight="1" x14ac:dyDescent="0.25">
      <c r="A6" s="33">
        <v>4</v>
      </c>
      <c r="B6" s="34" t="s">
        <v>4198</v>
      </c>
      <c r="C6" s="35"/>
      <c r="D6" s="34" t="s">
        <v>4199</v>
      </c>
      <c r="E6" s="34" t="s">
        <v>4200</v>
      </c>
      <c r="F6" s="34" t="s">
        <v>4201</v>
      </c>
      <c r="G6" s="34" t="s">
        <v>4202</v>
      </c>
      <c r="H6" s="34" t="s">
        <v>4203</v>
      </c>
      <c r="I6" s="33" t="s">
        <v>90</v>
      </c>
      <c r="J6" s="34" t="s">
        <v>4204</v>
      </c>
      <c r="K6" s="35"/>
      <c r="L6" s="34" t="s">
        <v>4181</v>
      </c>
      <c r="M6" s="35" t="s">
        <v>29</v>
      </c>
      <c r="N6" s="34" t="s">
        <v>4205</v>
      </c>
      <c r="O6" s="35" t="s">
        <v>816</v>
      </c>
      <c r="P6" s="35" t="s">
        <v>8</v>
      </c>
    </row>
    <row r="7" spans="1:16" ht="13.2" customHeight="1" x14ac:dyDescent="0.25">
      <c r="A7" s="33">
        <v>5</v>
      </c>
      <c r="B7" s="34" t="s">
        <v>4206</v>
      </c>
      <c r="C7" s="35"/>
      <c r="D7" s="34" t="s">
        <v>905</v>
      </c>
      <c r="E7" s="34" t="s">
        <v>2456</v>
      </c>
      <c r="F7" s="34" t="s">
        <v>4207</v>
      </c>
      <c r="G7" s="34" t="s">
        <v>4208</v>
      </c>
      <c r="H7" s="34" t="s">
        <v>4209</v>
      </c>
      <c r="I7" s="33">
        <v>4</v>
      </c>
      <c r="J7" s="34" t="s">
        <v>4210</v>
      </c>
      <c r="K7" s="35"/>
      <c r="L7" s="34" t="s">
        <v>4181</v>
      </c>
      <c r="M7" s="35" t="s">
        <v>29</v>
      </c>
      <c r="N7" s="34" t="s">
        <v>4211</v>
      </c>
      <c r="O7" s="35" t="s">
        <v>816</v>
      </c>
      <c r="P7" s="35" t="s">
        <v>8</v>
      </c>
    </row>
    <row r="8" spans="1:16" ht="13.2" customHeight="1" x14ac:dyDescent="0.25">
      <c r="A8" s="33">
        <v>6</v>
      </c>
      <c r="B8" s="34" t="s">
        <v>4212</v>
      </c>
      <c r="C8" s="35"/>
      <c r="D8" s="34" t="s">
        <v>4213</v>
      </c>
      <c r="E8" s="34" t="s">
        <v>4214</v>
      </c>
      <c r="F8" s="34" t="s">
        <v>4215</v>
      </c>
      <c r="G8" s="34" t="s">
        <v>4216</v>
      </c>
      <c r="H8" s="34" t="s">
        <v>4217</v>
      </c>
      <c r="I8" s="33" t="s">
        <v>90</v>
      </c>
      <c r="J8" s="34" t="s">
        <v>4218</v>
      </c>
      <c r="K8" s="35"/>
      <c r="L8" s="34" t="s">
        <v>4181</v>
      </c>
      <c r="M8" s="35" t="s">
        <v>29</v>
      </c>
      <c r="N8" s="34" t="s">
        <v>4219</v>
      </c>
      <c r="O8" s="35" t="s">
        <v>816</v>
      </c>
      <c r="P8" s="35" t="s">
        <v>8</v>
      </c>
    </row>
    <row r="9" spans="1:16" ht="13.2" customHeight="1" x14ac:dyDescent="0.25">
      <c r="A9" s="33">
        <v>7</v>
      </c>
      <c r="B9" s="34" t="s">
        <v>4220</v>
      </c>
      <c r="C9" s="35"/>
      <c r="D9" s="34" t="s">
        <v>4221</v>
      </c>
      <c r="E9" s="34" t="s">
        <v>4222</v>
      </c>
      <c r="F9" s="34" t="s">
        <v>4223</v>
      </c>
      <c r="G9" s="34" t="s">
        <v>4224</v>
      </c>
      <c r="H9" s="34" t="s">
        <v>4225</v>
      </c>
      <c r="I9" s="33" t="s">
        <v>84</v>
      </c>
      <c r="J9" s="34" t="s">
        <v>4226</v>
      </c>
      <c r="K9" s="35"/>
      <c r="L9" s="34" t="s">
        <v>4181</v>
      </c>
      <c r="M9" s="35" t="s">
        <v>29</v>
      </c>
      <c r="N9" s="34" t="s">
        <v>4227</v>
      </c>
      <c r="O9" s="35" t="s">
        <v>816</v>
      </c>
      <c r="P9" s="35" t="s">
        <v>8</v>
      </c>
    </row>
    <row r="10" spans="1:16" ht="13.2" customHeight="1" x14ac:dyDescent="0.25">
      <c r="A10" s="33">
        <v>8</v>
      </c>
      <c r="B10" s="34" t="s">
        <v>4228</v>
      </c>
      <c r="C10" s="35"/>
      <c r="D10" s="34" t="s">
        <v>4229</v>
      </c>
      <c r="E10" s="34" t="s">
        <v>4230</v>
      </c>
      <c r="F10" s="34" t="s">
        <v>4231</v>
      </c>
      <c r="G10" s="34" t="s">
        <v>4232</v>
      </c>
      <c r="H10" s="34" t="s">
        <v>108</v>
      </c>
      <c r="I10" s="33" t="s">
        <v>90</v>
      </c>
      <c r="J10" s="34" t="s">
        <v>4233</v>
      </c>
      <c r="K10" s="35"/>
      <c r="L10" s="34" t="s">
        <v>4181</v>
      </c>
      <c r="M10" s="35" t="s">
        <v>29</v>
      </c>
      <c r="N10" s="34" t="s">
        <v>4234</v>
      </c>
      <c r="O10" s="35" t="s">
        <v>816</v>
      </c>
      <c r="P10" s="35" t="s">
        <v>8</v>
      </c>
    </row>
    <row r="11" spans="1:16" ht="13.2" customHeight="1" x14ac:dyDescent="0.25">
      <c r="A11" s="33">
        <v>9</v>
      </c>
      <c r="B11" s="34" t="s">
        <v>4235</v>
      </c>
      <c r="C11" s="35"/>
      <c r="D11" s="34" t="s">
        <v>4236</v>
      </c>
      <c r="E11" s="34" t="s">
        <v>4237</v>
      </c>
      <c r="F11" s="34" t="s">
        <v>4238</v>
      </c>
      <c r="G11" s="34" t="s">
        <v>4239</v>
      </c>
      <c r="H11" s="34" t="s">
        <v>4240</v>
      </c>
      <c r="I11" s="33" t="s">
        <v>84</v>
      </c>
      <c r="J11" s="34" t="s">
        <v>4241</v>
      </c>
      <c r="K11" s="35"/>
      <c r="L11" s="34" t="s">
        <v>4181</v>
      </c>
      <c r="M11" s="35" t="s">
        <v>29</v>
      </c>
      <c r="N11" s="34" t="s">
        <v>4242</v>
      </c>
      <c r="O11" s="35" t="s">
        <v>816</v>
      </c>
      <c r="P11" s="35" t="s">
        <v>8</v>
      </c>
    </row>
    <row r="12" spans="1:16" ht="13.2" customHeight="1" x14ac:dyDescent="0.25">
      <c r="A12" s="33">
        <v>10</v>
      </c>
      <c r="B12" s="34" t="s">
        <v>4243</v>
      </c>
      <c r="C12" s="35"/>
      <c r="D12" s="34" t="s">
        <v>107</v>
      </c>
      <c r="E12" s="34" t="s">
        <v>4244</v>
      </c>
      <c r="F12" s="34" t="s">
        <v>4245</v>
      </c>
      <c r="G12" s="34" t="s">
        <v>2251</v>
      </c>
      <c r="H12" s="34" t="s">
        <v>4246</v>
      </c>
      <c r="I12" s="33" t="s">
        <v>84</v>
      </c>
      <c r="J12" s="34" t="s">
        <v>4247</v>
      </c>
      <c r="K12" s="35"/>
      <c r="L12" s="34" t="s">
        <v>4181</v>
      </c>
      <c r="M12" s="35" t="s">
        <v>29</v>
      </c>
      <c r="N12" s="34" t="s">
        <v>4248</v>
      </c>
      <c r="O12" s="35" t="s">
        <v>816</v>
      </c>
      <c r="P12" s="35" t="s">
        <v>8</v>
      </c>
    </row>
    <row r="13" spans="1:16" ht="13.2" customHeight="1" x14ac:dyDescent="0.25">
      <c r="A13" s="33">
        <v>11</v>
      </c>
      <c r="B13" s="34" t="s">
        <v>4249</v>
      </c>
      <c r="C13" s="35"/>
      <c r="D13" s="34" t="s">
        <v>4250</v>
      </c>
      <c r="E13" s="34" t="s">
        <v>4251</v>
      </c>
      <c r="F13" s="34" t="s">
        <v>4252</v>
      </c>
      <c r="G13" s="34" t="s">
        <v>4253</v>
      </c>
      <c r="H13" s="34" t="s">
        <v>4254</v>
      </c>
      <c r="I13" s="33" t="s">
        <v>96</v>
      </c>
      <c r="J13" s="34" t="s">
        <v>4255</v>
      </c>
      <c r="K13" s="35"/>
      <c r="L13" s="34" t="s">
        <v>4181</v>
      </c>
      <c r="M13" s="35" t="s">
        <v>29</v>
      </c>
      <c r="N13" s="34" t="s">
        <v>4256</v>
      </c>
      <c r="O13" s="35" t="s">
        <v>816</v>
      </c>
      <c r="P13" s="35" t="s">
        <v>8</v>
      </c>
    </row>
    <row r="14" spans="1:16" ht="13.2" customHeight="1" x14ac:dyDescent="0.25">
      <c r="A14" s="33">
        <v>12</v>
      </c>
      <c r="B14" s="34" t="s">
        <v>4257</v>
      </c>
      <c r="C14" s="35"/>
      <c r="D14" s="34" t="s">
        <v>4258</v>
      </c>
      <c r="E14" s="34" t="s">
        <v>4192</v>
      </c>
      <c r="F14" s="34" t="s">
        <v>4259</v>
      </c>
      <c r="G14" s="34" t="s">
        <v>4260</v>
      </c>
      <c r="H14" s="34" t="s">
        <v>4261</v>
      </c>
      <c r="I14" s="33" t="s">
        <v>84</v>
      </c>
      <c r="J14" s="34" t="s">
        <v>4262</v>
      </c>
      <c r="K14" s="35"/>
      <c r="L14" s="34" t="s">
        <v>4181</v>
      </c>
      <c r="M14" s="35" t="s">
        <v>29</v>
      </c>
      <c r="N14" s="34" t="s">
        <v>4263</v>
      </c>
      <c r="O14" s="35" t="s">
        <v>816</v>
      </c>
      <c r="P14" s="35" t="s">
        <v>8</v>
      </c>
    </row>
    <row r="15" spans="1:16" ht="13.2" customHeight="1" x14ac:dyDescent="0.25">
      <c r="A15" s="33">
        <v>13</v>
      </c>
      <c r="B15" s="34" t="s">
        <v>4264</v>
      </c>
      <c r="C15" s="35"/>
      <c r="D15" s="34" t="s">
        <v>4265</v>
      </c>
      <c r="E15" s="34" t="s">
        <v>4266</v>
      </c>
      <c r="F15" s="34" t="s">
        <v>4267</v>
      </c>
      <c r="G15" s="34" t="s">
        <v>4268</v>
      </c>
      <c r="H15" s="34" t="s">
        <v>4269</v>
      </c>
      <c r="I15" s="33" t="s">
        <v>113</v>
      </c>
      <c r="J15" s="34" t="s">
        <v>4270</v>
      </c>
      <c r="K15" s="35"/>
      <c r="L15" s="34" t="s">
        <v>4181</v>
      </c>
      <c r="M15" s="35" t="s">
        <v>29</v>
      </c>
      <c r="N15" s="34" t="s">
        <v>4271</v>
      </c>
      <c r="O15" s="35" t="s">
        <v>816</v>
      </c>
      <c r="P15" s="35" t="s">
        <v>8</v>
      </c>
    </row>
    <row r="16" spans="1:16" ht="13.2" customHeight="1" x14ac:dyDescent="0.25">
      <c r="A16" s="33">
        <v>14</v>
      </c>
      <c r="B16" s="34" t="s">
        <v>4272</v>
      </c>
      <c r="C16" s="35"/>
      <c r="D16" s="34" t="s">
        <v>4273</v>
      </c>
      <c r="E16" s="34" t="s">
        <v>4274</v>
      </c>
      <c r="F16" s="34" t="s">
        <v>4275</v>
      </c>
      <c r="G16" s="34" t="s">
        <v>4276</v>
      </c>
      <c r="H16" s="34" t="s">
        <v>4277</v>
      </c>
      <c r="I16" s="33" t="s">
        <v>96</v>
      </c>
      <c r="J16" s="34" t="s">
        <v>4278</v>
      </c>
      <c r="K16" s="35"/>
      <c r="L16" s="34" t="s">
        <v>4181</v>
      </c>
      <c r="M16" s="35" t="s">
        <v>29</v>
      </c>
      <c r="N16" s="34" t="s">
        <v>4279</v>
      </c>
      <c r="O16" s="35" t="s">
        <v>816</v>
      </c>
      <c r="P16" s="35" t="s">
        <v>8</v>
      </c>
    </row>
    <row r="17" spans="1:16" ht="13.2" customHeight="1" x14ac:dyDescent="0.25">
      <c r="A17" s="33">
        <v>15</v>
      </c>
      <c r="B17" s="34" t="s">
        <v>4280</v>
      </c>
      <c r="C17" s="35"/>
      <c r="D17" s="34" t="s">
        <v>4281</v>
      </c>
      <c r="E17" s="34" t="s">
        <v>4282</v>
      </c>
      <c r="F17" s="34" t="s">
        <v>4283</v>
      </c>
      <c r="G17" s="34" t="s">
        <v>4284</v>
      </c>
      <c r="H17" s="34" t="s">
        <v>4285</v>
      </c>
      <c r="I17" s="33" t="s">
        <v>84</v>
      </c>
      <c r="J17" s="34" t="s">
        <v>4286</v>
      </c>
      <c r="K17" s="35"/>
      <c r="L17" s="34" t="s">
        <v>4181</v>
      </c>
      <c r="M17" s="35" t="s">
        <v>29</v>
      </c>
      <c r="N17" s="34" t="s">
        <v>4287</v>
      </c>
      <c r="O17" s="35" t="s">
        <v>816</v>
      </c>
      <c r="P17" s="35" t="s">
        <v>8</v>
      </c>
    </row>
    <row r="18" spans="1:16" ht="13.2" customHeight="1" x14ac:dyDescent="0.25">
      <c r="A18" s="33">
        <v>16</v>
      </c>
      <c r="B18" s="34" t="s">
        <v>4288</v>
      </c>
      <c r="C18" s="35"/>
      <c r="D18" s="34" t="s">
        <v>4289</v>
      </c>
      <c r="E18" s="34" t="s">
        <v>2164</v>
      </c>
      <c r="F18" s="34" t="s">
        <v>693</v>
      </c>
      <c r="G18" s="34" t="s">
        <v>4290</v>
      </c>
      <c r="H18" s="34" t="s">
        <v>4291</v>
      </c>
      <c r="I18" s="33" t="s">
        <v>96</v>
      </c>
      <c r="J18" s="34" t="s">
        <v>4292</v>
      </c>
      <c r="K18" s="35"/>
      <c r="L18" s="34" t="s">
        <v>4181</v>
      </c>
      <c r="M18" s="35" t="s">
        <v>29</v>
      </c>
      <c r="N18" s="34" t="s">
        <v>4293</v>
      </c>
      <c r="O18" s="35" t="s">
        <v>816</v>
      </c>
      <c r="P18" s="35" t="s">
        <v>8</v>
      </c>
    </row>
    <row r="19" spans="1:16" ht="13.2" customHeight="1" x14ac:dyDescent="0.25">
      <c r="A19" s="33">
        <v>17</v>
      </c>
      <c r="B19" s="34" t="s">
        <v>4294</v>
      </c>
      <c r="C19" s="35"/>
      <c r="D19" s="34" t="s">
        <v>4295</v>
      </c>
      <c r="E19" s="34" t="s">
        <v>4296</v>
      </c>
      <c r="F19" s="34" t="s">
        <v>4297</v>
      </c>
      <c r="G19" s="34" t="s">
        <v>4298</v>
      </c>
      <c r="H19" s="34" t="s">
        <v>4299</v>
      </c>
      <c r="I19" s="33" t="s">
        <v>90</v>
      </c>
      <c r="J19" s="34" t="s">
        <v>4300</v>
      </c>
      <c r="K19" s="35"/>
      <c r="L19" s="34" t="s">
        <v>4181</v>
      </c>
      <c r="M19" s="35" t="s">
        <v>29</v>
      </c>
      <c r="N19" s="34" t="s">
        <v>4301</v>
      </c>
      <c r="O19" s="35" t="s">
        <v>816</v>
      </c>
      <c r="P19" s="35" t="s">
        <v>8</v>
      </c>
    </row>
    <row r="20" spans="1:16" ht="13.2" customHeight="1" x14ac:dyDescent="0.25">
      <c r="A20" s="33">
        <v>18</v>
      </c>
      <c r="B20" s="34" t="s">
        <v>4302</v>
      </c>
      <c r="C20" s="35"/>
      <c r="D20" s="34" t="s">
        <v>4303</v>
      </c>
      <c r="E20" s="34" t="s">
        <v>4304</v>
      </c>
      <c r="F20" s="34" t="s">
        <v>4305</v>
      </c>
      <c r="G20" s="34" t="s">
        <v>4306</v>
      </c>
      <c r="H20" s="34" t="s">
        <v>4307</v>
      </c>
      <c r="I20" s="33" t="s">
        <v>84</v>
      </c>
      <c r="J20" s="34" t="s">
        <v>4308</v>
      </c>
      <c r="K20" s="35"/>
      <c r="L20" s="34" t="s">
        <v>4181</v>
      </c>
      <c r="M20" s="35" t="s">
        <v>29</v>
      </c>
      <c r="N20" s="34" t="s">
        <v>4309</v>
      </c>
      <c r="O20" s="35" t="s">
        <v>816</v>
      </c>
      <c r="P20" s="35" t="s">
        <v>8</v>
      </c>
    </row>
    <row r="21" spans="1:16" ht="13.2" customHeight="1" x14ac:dyDescent="0.25">
      <c r="A21" s="33">
        <v>19</v>
      </c>
      <c r="B21" s="34" t="s">
        <v>4310</v>
      </c>
      <c r="C21" s="35"/>
      <c r="D21" s="34" t="s">
        <v>4311</v>
      </c>
      <c r="E21" s="34" t="s">
        <v>4312</v>
      </c>
      <c r="F21" s="34" t="s">
        <v>4244</v>
      </c>
      <c r="G21" s="34" t="s">
        <v>4313</v>
      </c>
      <c r="H21" s="34" t="s">
        <v>4314</v>
      </c>
      <c r="I21" s="33" t="s">
        <v>84</v>
      </c>
      <c r="J21" s="34" t="s">
        <v>4315</v>
      </c>
      <c r="K21" s="35"/>
      <c r="L21" s="34" t="s">
        <v>4181</v>
      </c>
      <c r="M21" s="35" t="s">
        <v>29</v>
      </c>
      <c r="N21" s="34" t="s">
        <v>4316</v>
      </c>
      <c r="O21" s="35" t="s">
        <v>816</v>
      </c>
      <c r="P21" s="35" t="s">
        <v>8</v>
      </c>
    </row>
    <row r="22" spans="1:16" ht="13.2" customHeight="1" x14ac:dyDescent="0.25">
      <c r="A22" s="33">
        <v>20</v>
      </c>
      <c r="B22" s="34" t="s">
        <v>4317</v>
      </c>
      <c r="C22" s="35"/>
      <c r="D22" s="34" t="s">
        <v>4318</v>
      </c>
      <c r="E22" s="34" t="s">
        <v>4319</v>
      </c>
      <c r="F22" s="34" t="s">
        <v>428</v>
      </c>
      <c r="G22" s="34" t="s">
        <v>4261</v>
      </c>
      <c r="H22" s="34" t="s">
        <v>4192</v>
      </c>
      <c r="I22" s="33" t="s">
        <v>84</v>
      </c>
      <c r="J22" s="34" t="s">
        <v>4320</v>
      </c>
      <c r="K22" s="35"/>
      <c r="L22" s="34" t="s">
        <v>4181</v>
      </c>
      <c r="M22" s="35" t="s">
        <v>29</v>
      </c>
      <c r="N22" s="34" t="s">
        <v>4321</v>
      </c>
      <c r="O22" s="35" t="s">
        <v>816</v>
      </c>
      <c r="P22" s="35" t="s">
        <v>8</v>
      </c>
    </row>
    <row r="23" spans="1:16" ht="13.2" customHeight="1" x14ac:dyDescent="0.25">
      <c r="A23" s="33">
        <v>21</v>
      </c>
      <c r="B23" s="34" t="s">
        <v>4322</v>
      </c>
      <c r="C23" s="35"/>
      <c r="D23" s="34" t="s">
        <v>4319</v>
      </c>
      <c r="E23" s="34" t="s">
        <v>4192</v>
      </c>
      <c r="F23" s="34" t="s">
        <v>4323</v>
      </c>
      <c r="G23" s="34" t="s">
        <v>2106</v>
      </c>
      <c r="H23" s="34" t="s">
        <v>3356</v>
      </c>
      <c r="I23" s="33" t="s">
        <v>84</v>
      </c>
      <c r="J23" s="34" t="s">
        <v>4324</v>
      </c>
      <c r="K23" s="35"/>
      <c r="L23" s="34" t="s">
        <v>4181</v>
      </c>
      <c r="M23" s="35" t="s">
        <v>29</v>
      </c>
      <c r="N23" s="34" t="s">
        <v>4325</v>
      </c>
      <c r="O23" s="35" t="s">
        <v>816</v>
      </c>
      <c r="P23" s="35" t="s">
        <v>8</v>
      </c>
    </row>
    <row r="24" spans="1:16" ht="13.2" customHeight="1" x14ac:dyDescent="0.25">
      <c r="A24" s="33">
        <v>22</v>
      </c>
      <c r="B24" s="34" t="s">
        <v>4326</v>
      </c>
      <c r="C24" s="35"/>
      <c r="D24" s="34" t="s">
        <v>2239</v>
      </c>
      <c r="E24" s="34" t="s">
        <v>106</v>
      </c>
      <c r="F24" s="34" t="s">
        <v>107</v>
      </c>
      <c r="G24" s="34" t="s">
        <v>4232</v>
      </c>
      <c r="H24" s="34" t="s">
        <v>108</v>
      </c>
      <c r="I24" s="33" t="s">
        <v>90</v>
      </c>
      <c r="J24" s="34" t="s">
        <v>4327</v>
      </c>
      <c r="K24" s="35"/>
      <c r="L24" s="34" t="s">
        <v>4181</v>
      </c>
      <c r="M24" s="35" t="s">
        <v>29</v>
      </c>
      <c r="N24" s="34" t="s">
        <v>4328</v>
      </c>
      <c r="O24" s="35" t="s">
        <v>816</v>
      </c>
      <c r="P24" s="35" t="s">
        <v>8</v>
      </c>
    </row>
    <row r="25" spans="1:16" ht="13.2" customHeight="1" x14ac:dyDescent="0.25">
      <c r="A25" s="33">
        <v>23</v>
      </c>
      <c r="B25" s="34" t="s">
        <v>4329</v>
      </c>
      <c r="C25" s="35"/>
      <c r="D25" s="34" t="s">
        <v>4261</v>
      </c>
      <c r="E25" s="34" t="s">
        <v>4330</v>
      </c>
      <c r="F25" s="34" t="s">
        <v>1645</v>
      </c>
      <c r="G25" s="34" t="s">
        <v>4331</v>
      </c>
      <c r="H25" s="34" t="s">
        <v>2193</v>
      </c>
      <c r="I25" s="33" t="s">
        <v>84</v>
      </c>
      <c r="J25" s="34" t="s">
        <v>4332</v>
      </c>
      <c r="K25" s="35"/>
      <c r="L25" s="34" t="s">
        <v>4181</v>
      </c>
      <c r="M25" s="35" t="s">
        <v>29</v>
      </c>
      <c r="N25" s="34" t="s">
        <v>4333</v>
      </c>
      <c r="O25" s="35" t="s">
        <v>816</v>
      </c>
      <c r="P25" s="35" t="s">
        <v>8</v>
      </c>
    </row>
    <row r="26" spans="1:16" ht="13.2" customHeight="1" x14ac:dyDescent="0.25">
      <c r="A26" s="33">
        <v>24</v>
      </c>
      <c r="B26" s="34" t="s">
        <v>4334</v>
      </c>
      <c r="C26" s="35"/>
      <c r="D26" s="34" t="s">
        <v>2543</v>
      </c>
      <c r="E26" s="34" t="s">
        <v>4335</v>
      </c>
      <c r="F26" s="34" t="s">
        <v>4336</v>
      </c>
      <c r="G26" s="34" t="s">
        <v>4337</v>
      </c>
      <c r="H26" s="34" t="s">
        <v>4338</v>
      </c>
      <c r="I26" s="33" t="s">
        <v>84</v>
      </c>
      <c r="J26" s="34" t="s">
        <v>4339</v>
      </c>
      <c r="K26" s="35"/>
      <c r="L26" s="34" t="s">
        <v>4181</v>
      </c>
      <c r="M26" s="35" t="s">
        <v>29</v>
      </c>
      <c r="N26" s="34" t="s">
        <v>4340</v>
      </c>
      <c r="O26" s="35" t="s">
        <v>816</v>
      </c>
      <c r="P26" s="35" t="s">
        <v>8</v>
      </c>
    </row>
    <row r="27" spans="1:16" ht="13.2" customHeight="1" x14ac:dyDescent="0.25">
      <c r="A27" s="33">
        <v>25</v>
      </c>
      <c r="B27" s="34" t="s">
        <v>4341</v>
      </c>
      <c r="C27" s="35"/>
      <c r="D27" s="34" t="s">
        <v>4342</v>
      </c>
      <c r="E27" s="34" t="s">
        <v>4343</v>
      </c>
      <c r="F27" s="34" t="s">
        <v>4344</v>
      </c>
      <c r="G27" s="34" t="s">
        <v>4345</v>
      </c>
      <c r="H27" s="34" t="s">
        <v>4346</v>
      </c>
      <c r="I27" s="33" t="s">
        <v>90</v>
      </c>
      <c r="J27" s="34" t="s">
        <v>4347</v>
      </c>
      <c r="K27" s="35"/>
      <c r="L27" s="34" t="s">
        <v>4181</v>
      </c>
      <c r="M27" s="35" t="s">
        <v>29</v>
      </c>
      <c r="N27" s="34" t="s">
        <v>4348</v>
      </c>
      <c r="O27" s="35" t="s">
        <v>816</v>
      </c>
      <c r="P27" s="35" t="s">
        <v>8</v>
      </c>
    </row>
    <row r="28" spans="1:16" ht="13.2" customHeight="1" x14ac:dyDescent="0.25">
      <c r="A28" s="33">
        <v>26</v>
      </c>
      <c r="B28" s="34" t="s">
        <v>4349</v>
      </c>
      <c r="C28" s="35"/>
      <c r="D28" s="34" t="s">
        <v>4350</v>
      </c>
      <c r="E28" s="34" t="s">
        <v>4351</v>
      </c>
      <c r="F28" s="34" t="s">
        <v>4352</v>
      </c>
      <c r="G28" s="34" t="s">
        <v>4353</v>
      </c>
      <c r="H28" s="34" t="s">
        <v>4354</v>
      </c>
      <c r="I28" s="33" t="s">
        <v>113</v>
      </c>
      <c r="J28" s="34" t="s">
        <v>4355</v>
      </c>
      <c r="K28" s="35"/>
      <c r="L28" s="34" t="s">
        <v>4181</v>
      </c>
      <c r="M28" s="35" t="s">
        <v>29</v>
      </c>
      <c r="N28" s="34" t="s">
        <v>4356</v>
      </c>
      <c r="O28" s="35" t="s">
        <v>816</v>
      </c>
      <c r="P28" s="35" t="s">
        <v>8</v>
      </c>
    </row>
    <row r="29" spans="1:16" ht="13.2" customHeight="1" x14ac:dyDescent="0.25">
      <c r="A29" s="33">
        <v>27</v>
      </c>
      <c r="B29" s="34" t="s">
        <v>4357</v>
      </c>
      <c r="C29" s="35"/>
      <c r="D29" s="34" t="s">
        <v>4358</v>
      </c>
      <c r="E29" s="34" t="s">
        <v>4359</v>
      </c>
      <c r="F29" s="34" t="s">
        <v>228</v>
      </c>
      <c r="G29" s="34" t="s">
        <v>4346</v>
      </c>
      <c r="H29" s="34" t="s">
        <v>4360</v>
      </c>
      <c r="I29" s="33" t="s">
        <v>123</v>
      </c>
      <c r="J29" s="34" t="s">
        <v>4361</v>
      </c>
      <c r="K29" s="35"/>
      <c r="L29" s="34" t="s">
        <v>4181</v>
      </c>
      <c r="M29" s="35" t="s">
        <v>29</v>
      </c>
      <c r="N29" s="34" t="s">
        <v>4362</v>
      </c>
      <c r="O29" s="35" t="s">
        <v>816</v>
      </c>
      <c r="P29" s="35" t="s">
        <v>8</v>
      </c>
    </row>
    <row r="30" spans="1:16" ht="13.2" customHeight="1" x14ac:dyDescent="0.25">
      <c r="A30" s="33">
        <v>28</v>
      </c>
      <c r="B30" s="34" t="s">
        <v>4363</v>
      </c>
      <c r="C30" s="35"/>
      <c r="D30" s="34" t="s">
        <v>4364</v>
      </c>
      <c r="E30" s="34" t="s">
        <v>4365</v>
      </c>
      <c r="F30" s="34" t="s">
        <v>4366</v>
      </c>
      <c r="G30" s="34" t="s">
        <v>4367</v>
      </c>
      <c r="H30" s="34" t="s">
        <v>4368</v>
      </c>
      <c r="I30" s="33" t="s">
        <v>123</v>
      </c>
      <c r="J30" s="34" t="s">
        <v>4369</v>
      </c>
      <c r="K30" s="35"/>
      <c r="L30" s="34" t="s">
        <v>4181</v>
      </c>
      <c r="M30" s="35" t="s">
        <v>29</v>
      </c>
      <c r="N30" s="34" t="s">
        <v>4370</v>
      </c>
      <c r="O30" s="35" t="s">
        <v>816</v>
      </c>
      <c r="P30" s="35" t="s">
        <v>8</v>
      </c>
    </row>
    <row r="31" spans="1:16" ht="13.2" customHeight="1" x14ac:dyDescent="0.25">
      <c r="A31" s="33">
        <v>29</v>
      </c>
      <c r="B31" s="34" t="s">
        <v>4371</v>
      </c>
      <c r="C31" s="35"/>
      <c r="D31" s="34" t="s">
        <v>3092</v>
      </c>
      <c r="E31" s="34" t="s">
        <v>4372</v>
      </c>
      <c r="F31" s="34" t="s">
        <v>4373</v>
      </c>
      <c r="G31" s="34" t="s">
        <v>4374</v>
      </c>
      <c r="H31" s="34" t="s">
        <v>4375</v>
      </c>
      <c r="I31" s="33" t="s">
        <v>123</v>
      </c>
      <c r="J31" s="34" t="s">
        <v>4376</v>
      </c>
      <c r="K31" s="35"/>
      <c r="L31" s="34" t="s">
        <v>4181</v>
      </c>
      <c r="M31" s="35" t="s">
        <v>29</v>
      </c>
      <c r="N31" s="34" t="s">
        <v>4377</v>
      </c>
      <c r="O31" s="35" t="s">
        <v>816</v>
      </c>
      <c r="P31" s="35" t="s">
        <v>8</v>
      </c>
    </row>
    <row r="32" spans="1:16" ht="13.2" customHeight="1" x14ac:dyDescent="0.25">
      <c r="A32" s="33">
        <v>30</v>
      </c>
      <c r="B32" s="34" t="s">
        <v>4378</v>
      </c>
      <c r="C32" s="35"/>
      <c r="D32" s="34" t="s">
        <v>4379</v>
      </c>
      <c r="E32" s="34" t="s">
        <v>4380</v>
      </c>
      <c r="F32" s="34" t="s">
        <v>4381</v>
      </c>
      <c r="G32" s="34" t="s">
        <v>4382</v>
      </c>
      <c r="H32" s="34" t="s">
        <v>781</v>
      </c>
      <c r="I32" s="33" t="s">
        <v>96</v>
      </c>
      <c r="J32" s="34" t="s">
        <v>4383</v>
      </c>
      <c r="K32" s="35"/>
      <c r="L32" s="34" t="s">
        <v>4181</v>
      </c>
      <c r="M32" s="35" t="s">
        <v>29</v>
      </c>
      <c r="N32" s="34" t="s">
        <v>4384</v>
      </c>
      <c r="O32" s="35" t="s">
        <v>816</v>
      </c>
      <c r="P32" s="35" t="s">
        <v>8</v>
      </c>
    </row>
    <row r="33" spans="1:16" ht="13.2" customHeight="1" x14ac:dyDescent="0.25">
      <c r="A33" s="33">
        <v>31</v>
      </c>
      <c r="B33" s="34" t="s">
        <v>4385</v>
      </c>
      <c r="C33" s="35"/>
      <c r="D33" s="34" t="s">
        <v>4386</v>
      </c>
      <c r="E33" s="34" t="s">
        <v>4387</v>
      </c>
      <c r="F33" s="34" t="s">
        <v>4388</v>
      </c>
      <c r="G33" s="34" t="s">
        <v>4389</v>
      </c>
      <c r="H33" s="34" t="s">
        <v>4390</v>
      </c>
      <c r="I33" s="33" t="s">
        <v>84</v>
      </c>
      <c r="J33" s="34" t="s">
        <v>4391</v>
      </c>
      <c r="K33" s="35"/>
      <c r="L33" s="34" t="s">
        <v>4181</v>
      </c>
      <c r="M33" s="35" t="s">
        <v>29</v>
      </c>
      <c r="N33" s="34" t="s">
        <v>4392</v>
      </c>
      <c r="O33" s="35" t="s">
        <v>816</v>
      </c>
      <c r="P33" s="35" t="s">
        <v>8</v>
      </c>
    </row>
    <row r="34" spans="1:16" ht="13.2" customHeight="1" x14ac:dyDescent="0.25">
      <c r="A34" s="33">
        <v>32</v>
      </c>
      <c r="B34" s="34" t="s">
        <v>4393</v>
      </c>
      <c r="C34" s="35"/>
      <c r="D34" s="34" t="s">
        <v>4394</v>
      </c>
      <c r="E34" s="34" t="s">
        <v>4395</v>
      </c>
      <c r="F34" s="34" t="s">
        <v>4396</v>
      </c>
      <c r="G34" s="34" t="s">
        <v>4397</v>
      </c>
      <c r="H34" s="34" t="s">
        <v>4398</v>
      </c>
      <c r="I34" s="33" t="s">
        <v>90</v>
      </c>
      <c r="J34" s="34" t="s">
        <v>4399</v>
      </c>
      <c r="K34" s="35"/>
      <c r="L34" s="34" t="s">
        <v>4181</v>
      </c>
      <c r="M34" s="35" t="s">
        <v>29</v>
      </c>
      <c r="N34" s="34" t="s">
        <v>4400</v>
      </c>
      <c r="O34" s="35" t="s">
        <v>816</v>
      </c>
      <c r="P34" s="35" t="s">
        <v>8</v>
      </c>
    </row>
    <row r="35" spans="1:16" ht="13.2" customHeight="1" x14ac:dyDescent="0.25">
      <c r="A35" s="33">
        <v>33</v>
      </c>
      <c r="B35" s="34" t="s">
        <v>4401</v>
      </c>
      <c r="C35" s="35"/>
      <c r="D35" s="34" t="s">
        <v>4402</v>
      </c>
      <c r="E35" s="34" t="s">
        <v>4403</v>
      </c>
      <c r="F35" s="34" t="s">
        <v>4404</v>
      </c>
      <c r="G35" s="34" t="s">
        <v>4405</v>
      </c>
      <c r="H35" s="34" t="s">
        <v>4406</v>
      </c>
      <c r="I35" s="33" t="s">
        <v>113</v>
      </c>
      <c r="J35" s="34" t="s">
        <v>4407</v>
      </c>
      <c r="K35" s="35"/>
      <c r="L35" s="34" t="s">
        <v>4181</v>
      </c>
      <c r="M35" s="35" t="s">
        <v>29</v>
      </c>
      <c r="N35" s="34" t="s">
        <v>4408</v>
      </c>
      <c r="O35" s="35" t="s">
        <v>816</v>
      </c>
      <c r="P35" s="35" t="s">
        <v>8</v>
      </c>
    </row>
    <row r="36" spans="1:16" ht="13.2" customHeight="1" x14ac:dyDescent="0.25">
      <c r="A36" s="33">
        <v>34</v>
      </c>
      <c r="B36" s="34" t="s">
        <v>4409</v>
      </c>
      <c r="C36" s="35"/>
      <c r="D36" s="34" t="s">
        <v>4410</v>
      </c>
      <c r="E36" s="34" t="s">
        <v>4411</v>
      </c>
      <c r="F36" s="34" t="s">
        <v>4412</v>
      </c>
      <c r="G36" s="34" t="s">
        <v>4413</v>
      </c>
      <c r="H36" s="34" t="s">
        <v>4414</v>
      </c>
      <c r="I36" s="33" t="s">
        <v>84</v>
      </c>
      <c r="J36" s="34" t="s">
        <v>4415</v>
      </c>
      <c r="K36" s="35"/>
      <c r="L36" s="34" t="s">
        <v>4181</v>
      </c>
      <c r="M36" s="35" t="s">
        <v>29</v>
      </c>
      <c r="N36" s="34" t="s">
        <v>4416</v>
      </c>
      <c r="O36" s="35" t="s">
        <v>816</v>
      </c>
      <c r="P36" s="35" t="s">
        <v>8</v>
      </c>
    </row>
    <row r="37" spans="1:16" ht="13.2" customHeight="1" x14ac:dyDescent="0.25">
      <c r="A37" s="33">
        <v>35</v>
      </c>
      <c r="B37" s="34" t="s">
        <v>4417</v>
      </c>
      <c r="C37" s="35"/>
      <c r="D37" s="34" t="s">
        <v>4418</v>
      </c>
      <c r="E37" s="34" t="s">
        <v>4419</v>
      </c>
      <c r="F37" s="34" t="s">
        <v>4420</v>
      </c>
      <c r="G37" s="34" t="s">
        <v>4421</v>
      </c>
      <c r="H37" s="34" t="s">
        <v>4422</v>
      </c>
      <c r="I37" s="33" t="s">
        <v>96</v>
      </c>
      <c r="J37" s="34" t="s">
        <v>4423</v>
      </c>
      <c r="K37" s="35"/>
      <c r="L37" s="34" t="s">
        <v>4181</v>
      </c>
      <c r="M37" s="35" t="s">
        <v>29</v>
      </c>
      <c r="N37" s="34" t="s">
        <v>4424</v>
      </c>
      <c r="O37" s="35" t="s">
        <v>816</v>
      </c>
      <c r="P37" s="35" t="s">
        <v>8</v>
      </c>
    </row>
    <row r="38" spans="1:16" ht="13.2" customHeight="1" x14ac:dyDescent="0.25">
      <c r="A38" s="33">
        <v>36</v>
      </c>
      <c r="B38" s="34" t="s">
        <v>4425</v>
      </c>
      <c r="C38" s="35"/>
      <c r="D38" s="34" t="s">
        <v>4426</v>
      </c>
      <c r="E38" s="34" t="s">
        <v>4427</v>
      </c>
      <c r="F38" s="34" t="s">
        <v>4428</v>
      </c>
      <c r="G38" s="34" t="s">
        <v>4429</v>
      </c>
      <c r="H38" s="34" t="s">
        <v>4430</v>
      </c>
      <c r="I38" s="33" t="s">
        <v>90</v>
      </c>
      <c r="J38" s="34" t="s">
        <v>4431</v>
      </c>
      <c r="K38" s="35"/>
      <c r="L38" s="34" t="s">
        <v>4181</v>
      </c>
      <c r="M38" s="35" t="s">
        <v>29</v>
      </c>
      <c r="N38" s="34" t="s">
        <v>4432</v>
      </c>
      <c r="O38" s="35" t="s">
        <v>816</v>
      </c>
      <c r="P38" s="35" t="s">
        <v>8</v>
      </c>
    </row>
    <row r="39" spans="1:16" ht="13.2" customHeight="1" x14ac:dyDescent="0.25">
      <c r="A39" s="33">
        <v>37</v>
      </c>
      <c r="B39" s="34" t="s">
        <v>4433</v>
      </c>
      <c r="C39" s="35"/>
      <c r="D39" s="34" t="s">
        <v>4434</v>
      </c>
      <c r="E39" s="34" t="s">
        <v>4435</v>
      </c>
      <c r="F39" s="34" t="s">
        <v>4436</v>
      </c>
      <c r="G39" s="34" t="s">
        <v>4437</v>
      </c>
      <c r="H39" s="34" t="s">
        <v>4438</v>
      </c>
      <c r="I39" s="33" t="s">
        <v>84</v>
      </c>
      <c r="J39" s="34" t="s">
        <v>4439</v>
      </c>
      <c r="K39" s="35"/>
      <c r="L39" s="34" t="s">
        <v>4181</v>
      </c>
      <c r="M39" s="35" t="s">
        <v>29</v>
      </c>
      <c r="N39" s="34" t="s">
        <v>4440</v>
      </c>
      <c r="O39" s="35" t="s">
        <v>816</v>
      </c>
      <c r="P39" s="35" t="s">
        <v>8</v>
      </c>
    </row>
    <row r="40" spans="1:16" ht="13.2" customHeight="1" x14ac:dyDescent="0.25">
      <c r="A40" s="33">
        <v>38</v>
      </c>
      <c r="B40" s="34" t="s">
        <v>4441</v>
      </c>
      <c r="C40" s="35"/>
      <c r="D40" s="34" t="s">
        <v>4442</v>
      </c>
      <c r="E40" s="34" t="s">
        <v>4443</v>
      </c>
      <c r="F40" s="34" t="s">
        <v>4444</v>
      </c>
      <c r="G40" s="34" t="s">
        <v>4445</v>
      </c>
      <c r="H40" s="34" t="s">
        <v>4446</v>
      </c>
      <c r="I40" s="33" t="s">
        <v>123</v>
      </c>
      <c r="J40" s="34" t="s">
        <v>4447</v>
      </c>
      <c r="K40" s="35"/>
      <c r="L40" s="34" t="s">
        <v>4181</v>
      </c>
      <c r="M40" s="35" t="s">
        <v>29</v>
      </c>
      <c r="N40" s="34" t="s">
        <v>4448</v>
      </c>
      <c r="O40" s="35" t="s">
        <v>816</v>
      </c>
      <c r="P40" s="35" t="s">
        <v>8</v>
      </c>
    </row>
    <row r="41" spans="1:16" ht="13.2" customHeight="1" x14ac:dyDescent="0.25">
      <c r="A41" s="33">
        <v>39</v>
      </c>
      <c r="B41" s="34" t="s">
        <v>4449</v>
      </c>
      <c r="C41" s="35"/>
      <c r="D41" s="34" t="s">
        <v>4450</v>
      </c>
      <c r="E41" s="34" t="s">
        <v>4451</v>
      </c>
      <c r="F41" s="34" t="s">
        <v>4452</v>
      </c>
      <c r="G41" s="34" t="s">
        <v>4453</v>
      </c>
      <c r="H41" s="34" t="s">
        <v>4454</v>
      </c>
      <c r="I41" s="33" t="s">
        <v>90</v>
      </c>
      <c r="J41" s="34" t="s">
        <v>4455</v>
      </c>
      <c r="K41" s="35"/>
      <c r="L41" s="34" t="s">
        <v>4181</v>
      </c>
      <c r="M41" s="35" t="s">
        <v>29</v>
      </c>
      <c r="N41" s="34" t="s">
        <v>4456</v>
      </c>
      <c r="O41" s="35" t="s">
        <v>816</v>
      </c>
      <c r="P41" s="35" t="s">
        <v>8</v>
      </c>
    </row>
    <row r="42" spans="1:16" ht="13.2" customHeight="1" x14ac:dyDescent="0.25">
      <c r="A42" s="33">
        <v>40</v>
      </c>
      <c r="B42" s="34" t="s">
        <v>4457</v>
      </c>
      <c r="C42" s="35"/>
      <c r="D42" s="34" t="s">
        <v>4458</v>
      </c>
      <c r="E42" s="34" t="s">
        <v>4459</v>
      </c>
      <c r="F42" s="34" t="s">
        <v>4460</v>
      </c>
      <c r="G42" s="34" t="s">
        <v>4461</v>
      </c>
      <c r="H42" s="34" t="s">
        <v>4462</v>
      </c>
      <c r="I42" s="33" t="s">
        <v>113</v>
      </c>
      <c r="J42" s="34" t="s">
        <v>4463</v>
      </c>
      <c r="K42" s="35"/>
      <c r="L42" s="34" t="s">
        <v>4181</v>
      </c>
      <c r="M42" s="35" t="s">
        <v>29</v>
      </c>
      <c r="N42" s="34" t="s">
        <v>4464</v>
      </c>
      <c r="O42" s="35" t="s">
        <v>816</v>
      </c>
      <c r="P42" s="35" t="s">
        <v>8</v>
      </c>
    </row>
    <row r="43" spans="1:16" ht="13.2" customHeight="1" x14ac:dyDescent="0.25">
      <c r="A43" s="33">
        <v>41</v>
      </c>
      <c r="B43" s="34" t="s">
        <v>4465</v>
      </c>
      <c r="C43" s="35"/>
      <c r="D43" s="34" t="s">
        <v>4466</v>
      </c>
      <c r="E43" s="34" t="s">
        <v>4467</v>
      </c>
      <c r="F43" s="34" t="s">
        <v>4468</v>
      </c>
      <c r="G43" s="34" t="s">
        <v>4469</v>
      </c>
      <c r="H43" s="34" t="s">
        <v>4470</v>
      </c>
      <c r="I43" s="33" t="s">
        <v>123</v>
      </c>
      <c r="J43" s="34" t="s">
        <v>4471</v>
      </c>
      <c r="K43" s="35"/>
      <c r="L43" s="34" t="s">
        <v>4181</v>
      </c>
      <c r="M43" s="35" t="s">
        <v>29</v>
      </c>
      <c r="N43" s="34" t="s">
        <v>4472</v>
      </c>
      <c r="O43" s="35" t="s">
        <v>816</v>
      </c>
      <c r="P43" s="35" t="s">
        <v>8</v>
      </c>
    </row>
    <row r="44" spans="1:16" ht="13.2" customHeight="1" x14ac:dyDescent="0.25">
      <c r="A44" s="33">
        <v>42</v>
      </c>
      <c r="B44" s="34" t="s">
        <v>4473</v>
      </c>
      <c r="C44" s="35"/>
      <c r="D44" s="34" t="s">
        <v>585</v>
      </c>
      <c r="E44" s="34" t="s">
        <v>905</v>
      </c>
      <c r="F44" s="34" t="s">
        <v>586</v>
      </c>
      <c r="G44" s="34" t="s">
        <v>4474</v>
      </c>
      <c r="H44" s="34" t="s">
        <v>4475</v>
      </c>
      <c r="I44" s="33" t="s">
        <v>90</v>
      </c>
      <c r="J44" s="34" t="s">
        <v>4476</v>
      </c>
      <c r="K44" s="35"/>
      <c r="L44" s="34" t="s">
        <v>4181</v>
      </c>
      <c r="M44" s="35" t="s">
        <v>29</v>
      </c>
      <c r="N44" s="34" t="s">
        <v>4477</v>
      </c>
      <c r="O44" s="35" t="s">
        <v>816</v>
      </c>
      <c r="P44" s="35" t="s">
        <v>8</v>
      </c>
    </row>
    <row r="45" spans="1:16" ht="13.2" customHeight="1" x14ac:dyDescent="0.25">
      <c r="A45" s="33">
        <v>43</v>
      </c>
      <c r="B45" s="34" t="s">
        <v>4478</v>
      </c>
      <c r="C45" s="35"/>
      <c r="D45" s="34" t="s">
        <v>4479</v>
      </c>
      <c r="E45" s="34" t="s">
        <v>4480</v>
      </c>
      <c r="F45" s="34" t="s">
        <v>4481</v>
      </c>
      <c r="G45" s="34" t="s">
        <v>4482</v>
      </c>
      <c r="H45" s="34" t="s">
        <v>4483</v>
      </c>
      <c r="I45" s="33" t="s">
        <v>123</v>
      </c>
      <c r="J45" s="34" t="s">
        <v>4484</v>
      </c>
      <c r="K45" s="35"/>
      <c r="L45" s="34" t="s">
        <v>4181</v>
      </c>
      <c r="M45" s="35" t="s">
        <v>29</v>
      </c>
      <c r="N45" s="34" t="s">
        <v>4485</v>
      </c>
      <c r="O45" s="35" t="s">
        <v>816</v>
      </c>
      <c r="P45" s="35" t="s">
        <v>8</v>
      </c>
    </row>
    <row r="46" spans="1:16" ht="13.2" customHeight="1" x14ac:dyDescent="0.25">
      <c r="A46" s="33">
        <v>44</v>
      </c>
      <c r="B46" s="34" t="s">
        <v>4486</v>
      </c>
      <c r="C46" s="35"/>
      <c r="D46" s="34" t="s">
        <v>4487</v>
      </c>
      <c r="E46" s="34" t="s">
        <v>4488</v>
      </c>
      <c r="F46" s="34" t="s">
        <v>4489</v>
      </c>
      <c r="G46" s="34" t="s">
        <v>4490</v>
      </c>
      <c r="H46" s="34" t="s">
        <v>781</v>
      </c>
      <c r="I46" s="33" t="s">
        <v>96</v>
      </c>
      <c r="J46" s="34" t="s">
        <v>4491</v>
      </c>
      <c r="K46" s="35"/>
      <c r="L46" s="34" t="s">
        <v>4181</v>
      </c>
      <c r="M46" s="35" t="s">
        <v>29</v>
      </c>
      <c r="N46" s="34" t="s">
        <v>4492</v>
      </c>
      <c r="O46" s="35" t="s">
        <v>816</v>
      </c>
      <c r="P46" s="35" t="s">
        <v>8</v>
      </c>
    </row>
    <row r="47" spans="1:16" ht="13.2" customHeight="1" x14ac:dyDescent="0.25">
      <c r="A47" s="33">
        <v>45</v>
      </c>
      <c r="B47" s="34" t="s">
        <v>4493</v>
      </c>
      <c r="C47" s="35"/>
      <c r="D47" s="34" t="s">
        <v>4494</v>
      </c>
      <c r="E47" s="34" t="s">
        <v>4495</v>
      </c>
      <c r="F47" s="34" t="s">
        <v>795</v>
      </c>
      <c r="G47" s="34" t="s">
        <v>4496</v>
      </c>
      <c r="H47" s="34" t="s">
        <v>227</v>
      </c>
      <c r="I47" s="33" t="s">
        <v>113</v>
      </c>
      <c r="J47" s="34" t="s">
        <v>4497</v>
      </c>
      <c r="K47" s="35"/>
      <c r="L47" s="34" t="s">
        <v>4181</v>
      </c>
      <c r="M47" s="35" t="s">
        <v>29</v>
      </c>
      <c r="N47" s="34" t="s">
        <v>4498</v>
      </c>
      <c r="O47" s="35" t="s">
        <v>816</v>
      </c>
      <c r="P47" s="35" t="s">
        <v>8</v>
      </c>
    </row>
    <row r="48" spans="1:16" ht="13.2" customHeight="1" x14ac:dyDescent="0.25">
      <c r="A48" s="33">
        <v>46</v>
      </c>
      <c r="B48" s="34" t="s">
        <v>4499</v>
      </c>
      <c r="C48" s="35"/>
      <c r="D48" s="34" t="s">
        <v>4500</v>
      </c>
      <c r="E48" s="34" t="s">
        <v>4412</v>
      </c>
      <c r="F48" s="34" t="s">
        <v>3390</v>
      </c>
      <c r="G48" s="34" t="s">
        <v>4501</v>
      </c>
      <c r="H48" s="34" t="s">
        <v>4502</v>
      </c>
      <c r="I48" s="33" t="s">
        <v>90</v>
      </c>
      <c r="J48" s="34" t="s">
        <v>4503</v>
      </c>
      <c r="K48" s="35"/>
      <c r="L48" s="34" t="s">
        <v>4181</v>
      </c>
      <c r="M48" s="35" t="s">
        <v>29</v>
      </c>
      <c r="N48" s="34" t="s">
        <v>4504</v>
      </c>
      <c r="O48" s="35" t="s">
        <v>816</v>
      </c>
      <c r="P48" s="35" t="s">
        <v>8</v>
      </c>
    </row>
    <row r="49" spans="1:16" ht="13.2" customHeight="1" x14ac:dyDescent="0.25">
      <c r="A49" s="33">
        <v>47</v>
      </c>
      <c r="B49" s="34" t="s">
        <v>4505</v>
      </c>
      <c r="C49" s="35"/>
      <c r="D49" s="34" t="s">
        <v>4506</v>
      </c>
      <c r="E49" s="34" t="s">
        <v>4507</v>
      </c>
      <c r="F49" s="34" t="s">
        <v>4508</v>
      </c>
      <c r="G49" s="34" t="s">
        <v>4509</v>
      </c>
      <c r="H49" s="34" t="s">
        <v>4510</v>
      </c>
      <c r="I49" s="33" t="s">
        <v>84</v>
      </c>
      <c r="J49" s="34" t="s">
        <v>4511</v>
      </c>
      <c r="K49" s="35"/>
      <c r="L49" s="34" t="s">
        <v>4181</v>
      </c>
      <c r="M49" s="35" t="s">
        <v>29</v>
      </c>
      <c r="N49" s="34" t="s">
        <v>4512</v>
      </c>
      <c r="O49" s="35" t="s">
        <v>816</v>
      </c>
      <c r="P49" s="35" t="s">
        <v>8</v>
      </c>
    </row>
    <row r="50" spans="1:16" ht="13.2" customHeight="1" x14ac:dyDescent="0.25">
      <c r="A50" s="33">
        <v>48</v>
      </c>
      <c r="B50" s="34" t="s">
        <v>4513</v>
      </c>
      <c r="C50" s="35"/>
      <c r="D50" s="34" t="s">
        <v>4514</v>
      </c>
      <c r="E50" s="34" t="s">
        <v>4515</v>
      </c>
      <c r="F50" s="34" t="s">
        <v>4516</v>
      </c>
      <c r="G50" s="34" t="s">
        <v>4517</v>
      </c>
      <c r="H50" s="34" t="s">
        <v>107</v>
      </c>
      <c r="I50" s="33">
        <v>5</v>
      </c>
      <c r="J50" s="34" t="s">
        <v>4518</v>
      </c>
      <c r="K50" s="35"/>
      <c r="L50" s="34" t="s">
        <v>4181</v>
      </c>
      <c r="M50" s="35" t="s">
        <v>29</v>
      </c>
      <c r="N50" s="34" t="s">
        <v>4519</v>
      </c>
      <c r="O50" s="35" t="s">
        <v>816</v>
      </c>
      <c r="P50" s="35" t="s">
        <v>8</v>
      </c>
    </row>
    <row r="51" spans="1:16" ht="13.2" customHeight="1" x14ac:dyDescent="0.25">
      <c r="A51" s="33">
        <v>49</v>
      </c>
      <c r="B51" s="34" t="s">
        <v>4520</v>
      </c>
      <c r="C51" s="35"/>
      <c r="D51" s="34" t="s">
        <v>4450</v>
      </c>
      <c r="E51" s="34" t="s">
        <v>4521</v>
      </c>
      <c r="F51" s="34" t="s">
        <v>4522</v>
      </c>
      <c r="G51" s="34" t="s">
        <v>4523</v>
      </c>
      <c r="H51" s="34" t="s">
        <v>4524</v>
      </c>
      <c r="I51" s="33" t="s">
        <v>90</v>
      </c>
      <c r="J51" s="34" t="s">
        <v>4525</v>
      </c>
      <c r="K51" s="35"/>
      <c r="L51" s="34" t="s">
        <v>4181</v>
      </c>
      <c r="M51" s="35" t="s">
        <v>29</v>
      </c>
      <c r="N51" s="34" t="s">
        <v>4526</v>
      </c>
      <c r="O51" s="35" t="s">
        <v>816</v>
      </c>
      <c r="P51" s="35" t="s">
        <v>8</v>
      </c>
    </row>
    <row r="52" spans="1:16" ht="13.2" customHeight="1" x14ac:dyDescent="0.25">
      <c r="A52" s="33">
        <v>50</v>
      </c>
      <c r="B52" s="34" t="s">
        <v>4527</v>
      </c>
      <c r="C52" s="35"/>
      <c r="D52" s="34" t="s">
        <v>4528</v>
      </c>
      <c r="E52" s="34" t="s">
        <v>4529</v>
      </c>
      <c r="F52" s="34" t="s">
        <v>4530</v>
      </c>
      <c r="G52" s="34" t="s">
        <v>4531</v>
      </c>
      <c r="H52" s="34" t="s">
        <v>4532</v>
      </c>
      <c r="I52" s="33" t="s">
        <v>84</v>
      </c>
      <c r="J52" s="34" t="s">
        <v>4533</v>
      </c>
      <c r="K52" s="35"/>
      <c r="L52" s="34" t="s">
        <v>4181</v>
      </c>
      <c r="M52" s="35" t="s">
        <v>29</v>
      </c>
      <c r="N52" s="34" t="s">
        <v>4534</v>
      </c>
      <c r="O52" s="35" t="s">
        <v>816</v>
      </c>
      <c r="P52" s="35" t="s">
        <v>8</v>
      </c>
    </row>
    <row r="53" spans="1:16" ht="13.2" customHeight="1" x14ac:dyDescent="0.25">
      <c r="A53" s="33">
        <v>51</v>
      </c>
      <c r="B53" s="34" t="s">
        <v>4341</v>
      </c>
      <c r="C53" s="35"/>
      <c r="D53" s="34" t="s">
        <v>4342</v>
      </c>
      <c r="E53" s="34" t="s">
        <v>4343</v>
      </c>
      <c r="F53" s="34" t="s">
        <v>4344</v>
      </c>
      <c r="G53" s="34" t="s">
        <v>4345</v>
      </c>
      <c r="H53" s="34" t="s">
        <v>4535</v>
      </c>
      <c r="I53" s="33" t="s">
        <v>90</v>
      </c>
      <c r="J53" s="34" t="s">
        <v>4536</v>
      </c>
      <c r="K53" s="35"/>
      <c r="L53" s="34" t="s">
        <v>4181</v>
      </c>
      <c r="M53" s="35" t="s">
        <v>29</v>
      </c>
      <c r="N53" s="34" t="s">
        <v>4537</v>
      </c>
      <c r="O53" s="35" t="s">
        <v>816</v>
      </c>
      <c r="P53" s="35" t="s">
        <v>8</v>
      </c>
    </row>
    <row r="54" spans="1:16" ht="13.2" customHeight="1" x14ac:dyDescent="0.25">
      <c r="A54" s="33">
        <v>52</v>
      </c>
      <c r="B54" s="34" t="s">
        <v>4538</v>
      </c>
      <c r="C54" s="35"/>
      <c r="D54" s="34" t="s">
        <v>905</v>
      </c>
      <c r="E54" s="34" t="s">
        <v>2456</v>
      </c>
      <c r="F54" s="34" t="s">
        <v>4207</v>
      </c>
      <c r="G54" s="34" t="s">
        <v>4539</v>
      </c>
      <c r="H54" s="34" t="s">
        <v>799</v>
      </c>
      <c r="I54" s="33" t="s">
        <v>123</v>
      </c>
      <c r="J54" s="34" t="s">
        <v>4540</v>
      </c>
      <c r="K54" s="35"/>
      <c r="L54" s="34" t="s">
        <v>4181</v>
      </c>
      <c r="M54" s="35" t="s">
        <v>29</v>
      </c>
      <c r="N54" s="34" t="s">
        <v>4541</v>
      </c>
      <c r="O54" s="35" t="s">
        <v>816</v>
      </c>
      <c r="P54" s="35" t="s">
        <v>8</v>
      </c>
    </row>
    <row r="55" spans="1:16" ht="13.2" customHeight="1" x14ac:dyDescent="0.25">
      <c r="A55" s="33">
        <v>53</v>
      </c>
      <c r="B55" s="34" t="s">
        <v>4542</v>
      </c>
      <c r="C55" s="35"/>
      <c r="D55" s="34" t="s">
        <v>4543</v>
      </c>
      <c r="E55" s="34" t="s">
        <v>4544</v>
      </c>
      <c r="F55" s="34" t="s">
        <v>4545</v>
      </c>
      <c r="G55" s="34" t="s">
        <v>4546</v>
      </c>
      <c r="H55" s="34" t="s">
        <v>4547</v>
      </c>
      <c r="I55" s="33" t="s">
        <v>96</v>
      </c>
      <c r="J55" s="34" t="s">
        <v>4548</v>
      </c>
      <c r="K55" s="35"/>
      <c r="L55" s="34" t="s">
        <v>4181</v>
      </c>
      <c r="M55" s="35" t="s">
        <v>29</v>
      </c>
      <c r="N55" s="34" t="s">
        <v>4549</v>
      </c>
      <c r="O55" s="35" t="s">
        <v>816</v>
      </c>
      <c r="P55" s="35" t="s">
        <v>8</v>
      </c>
    </row>
    <row r="56" spans="1:16" ht="13.2" customHeight="1" x14ac:dyDescent="0.25">
      <c r="A56" s="33">
        <v>54</v>
      </c>
      <c r="B56" s="34" t="s">
        <v>4550</v>
      </c>
      <c r="C56" s="35"/>
      <c r="D56" s="34" t="s">
        <v>4551</v>
      </c>
      <c r="E56" s="34" t="s">
        <v>4552</v>
      </c>
      <c r="F56" s="34" t="s">
        <v>4553</v>
      </c>
      <c r="G56" s="34" t="s">
        <v>4554</v>
      </c>
      <c r="H56" s="34" t="s">
        <v>4555</v>
      </c>
      <c r="I56" s="33" t="s">
        <v>113</v>
      </c>
      <c r="J56" s="34" t="s">
        <v>4556</v>
      </c>
      <c r="K56" s="35"/>
      <c r="L56" s="34" t="s">
        <v>4181</v>
      </c>
      <c r="M56" s="35" t="s">
        <v>29</v>
      </c>
      <c r="N56" s="34" t="s">
        <v>4557</v>
      </c>
      <c r="O56" s="35" t="s">
        <v>816</v>
      </c>
      <c r="P56" s="35" t="s">
        <v>8</v>
      </c>
    </row>
    <row r="57" spans="1:16" ht="13.2" customHeight="1" x14ac:dyDescent="0.25">
      <c r="A57" s="33">
        <v>55</v>
      </c>
      <c r="B57" s="34" t="s">
        <v>4558</v>
      </c>
      <c r="C57" s="35"/>
      <c r="D57" s="34" t="s">
        <v>106</v>
      </c>
      <c r="E57" s="34" t="s">
        <v>107</v>
      </c>
      <c r="F57" s="34" t="s">
        <v>2239</v>
      </c>
      <c r="G57" s="34" t="s">
        <v>4412</v>
      </c>
      <c r="H57" s="34" t="s">
        <v>4413</v>
      </c>
      <c r="I57" s="33" t="s">
        <v>84</v>
      </c>
      <c r="J57" s="34" t="s">
        <v>4559</v>
      </c>
      <c r="K57" s="35"/>
      <c r="L57" s="34" t="s">
        <v>4181</v>
      </c>
      <c r="M57" s="35" t="s">
        <v>29</v>
      </c>
      <c r="N57" s="34" t="s">
        <v>4560</v>
      </c>
      <c r="O57" s="35" t="s">
        <v>816</v>
      </c>
      <c r="P57" s="35" t="s">
        <v>8</v>
      </c>
    </row>
    <row r="58" spans="1:16" ht="13.2" customHeight="1" x14ac:dyDescent="0.25">
      <c r="A58" s="33">
        <v>56</v>
      </c>
      <c r="B58" s="34" t="s">
        <v>4561</v>
      </c>
      <c r="C58" s="35"/>
      <c r="D58" s="34" t="s">
        <v>585</v>
      </c>
      <c r="E58" s="34" t="s">
        <v>905</v>
      </c>
      <c r="F58" s="34" t="s">
        <v>586</v>
      </c>
      <c r="G58" s="34" t="s">
        <v>4475</v>
      </c>
      <c r="H58" s="34" t="s">
        <v>4562</v>
      </c>
      <c r="I58" s="33" t="s">
        <v>90</v>
      </c>
      <c r="J58" s="34" t="s">
        <v>4563</v>
      </c>
      <c r="K58" s="35"/>
      <c r="L58" s="34" t="s">
        <v>4181</v>
      </c>
      <c r="M58" s="35" t="s">
        <v>29</v>
      </c>
      <c r="N58" s="34" t="s">
        <v>4564</v>
      </c>
      <c r="O58" s="35" t="s">
        <v>816</v>
      </c>
      <c r="P58" s="35" t="s">
        <v>8</v>
      </c>
    </row>
    <row r="59" spans="1:16" ht="13.2" customHeight="1" x14ac:dyDescent="0.25">
      <c r="A59" s="33">
        <v>57</v>
      </c>
      <c r="B59" s="34" t="s">
        <v>4565</v>
      </c>
      <c r="C59" s="35"/>
      <c r="D59" s="34" t="s">
        <v>4566</v>
      </c>
      <c r="E59" s="34" t="s">
        <v>4567</v>
      </c>
      <c r="F59" s="34" t="s">
        <v>4568</v>
      </c>
      <c r="G59" s="34" t="s">
        <v>4569</v>
      </c>
      <c r="H59" s="34" t="s">
        <v>4562</v>
      </c>
      <c r="I59" s="33" t="s">
        <v>96</v>
      </c>
      <c r="J59" s="34" t="s">
        <v>4570</v>
      </c>
      <c r="K59" s="35"/>
      <c r="L59" s="34" t="s">
        <v>4181</v>
      </c>
      <c r="M59" s="35" t="s">
        <v>29</v>
      </c>
      <c r="N59" s="34" t="s">
        <v>4571</v>
      </c>
      <c r="O59" s="35" t="s">
        <v>816</v>
      </c>
      <c r="P59" s="35" t="s">
        <v>8</v>
      </c>
    </row>
    <row r="60" spans="1:16" ht="13.2" customHeight="1" x14ac:dyDescent="0.25">
      <c r="A60" s="33">
        <v>58</v>
      </c>
      <c r="B60" s="34" t="s">
        <v>4572</v>
      </c>
      <c r="C60" s="35"/>
      <c r="D60" s="34" t="s">
        <v>4573</v>
      </c>
      <c r="E60" s="34" t="s">
        <v>4574</v>
      </c>
      <c r="F60" s="34" t="s">
        <v>4575</v>
      </c>
      <c r="G60" s="34" t="s">
        <v>4576</v>
      </c>
      <c r="H60" s="34" t="s">
        <v>4577</v>
      </c>
      <c r="I60" s="33" t="s">
        <v>113</v>
      </c>
      <c r="J60" s="34" t="s">
        <v>4578</v>
      </c>
      <c r="K60" s="35"/>
      <c r="L60" s="34" t="s">
        <v>4181</v>
      </c>
      <c r="M60" s="35" t="s">
        <v>29</v>
      </c>
      <c r="N60" s="34" t="s">
        <v>4579</v>
      </c>
      <c r="O60" s="35" t="s">
        <v>816</v>
      </c>
      <c r="P60" s="35" t="s">
        <v>8</v>
      </c>
    </row>
    <row r="61" spans="1:16" ht="13.2" customHeight="1" x14ac:dyDescent="0.25">
      <c r="A61" s="33">
        <v>59</v>
      </c>
      <c r="B61" s="34" t="s">
        <v>4580</v>
      </c>
      <c r="C61" s="35"/>
      <c r="D61" s="34" t="s">
        <v>4581</v>
      </c>
      <c r="E61" s="34" t="s">
        <v>4582</v>
      </c>
      <c r="F61" s="34" t="s">
        <v>4583</v>
      </c>
      <c r="G61" s="34" t="s">
        <v>4584</v>
      </c>
      <c r="H61" s="34" t="s">
        <v>4562</v>
      </c>
      <c r="I61" s="33" t="s">
        <v>113</v>
      </c>
      <c r="J61" s="34" t="s">
        <v>4585</v>
      </c>
      <c r="K61" s="35"/>
      <c r="L61" s="34" t="s">
        <v>4181</v>
      </c>
      <c r="M61" s="35" t="s">
        <v>29</v>
      </c>
      <c r="N61" s="34" t="s">
        <v>4586</v>
      </c>
      <c r="O61" s="35" t="s">
        <v>816</v>
      </c>
      <c r="P61" s="35" t="s">
        <v>8</v>
      </c>
    </row>
    <row r="62" spans="1:16" ht="13.2" customHeight="1" x14ac:dyDescent="0.25">
      <c r="A62" s="33">
        <v>60</v>
      </c>
      <c r="B62" s="34" t="s">
        <v>4587</v>
      </c>
      <c r="C62" s="35"/>
      <c r="D62" s="34" t="s">
        <v>4588</v>
      </c>
      <c r="E62" s="34" t="s">
        <v>4589</v>
      </c>
      <c r="F62" s="34" t="s">
        <v>4590</v>
      </c>
      <c r="G62" s="34" t="s">
        <v>4591</v>
      </c>
      <c r="H62" s="34" t="s">
        <v>4592</v>
      </c>
      <c r="I62" s="33" t="s">
        <v>96</v>
      </c>
      <c r="J62" s="34" t="s">
        <v>4593</v>
      </c>
      <c r="K62" s="35"/>
      <c r="L62" s="34" t="s">
        <v>4594</v>
      </c>
      <c r="M62" s="35" t="s">
        <v>29</v>
      </c>
      <c r="N62" s="34" t="s">
        <v>4595</v>
      </c>
      <c r="O62" s="35" t="s">
        <v>816</v>
      </c>
      <c r="P62" s="35" t="s">
        <v>8</v>
      </c>
    </row>
    <row r="63" spans="1:16" ht="13.2" customHeight="1" x14ac:dyDescent="0.25">
      <c r="A63" s="33">
        <v>61</v>
      </c>
      <c r="B63" s="34" t="s">
        <v>4596</v>
      </c>
      <c r="C63" s="35"/>
      <c r="D63" s="34" t="s">
        <v>4597</v>
      </c>
      <c r="E63" s="34" t="s">
        <v>4598</v>
      </c>
      <c r="F63" s="34" t="s">
        <v>4599</v>
      </c>
      <c r="G63" s="34" t="s">
        <v>4600</v>
      </c>
      <c r="H63" s="34" t="s">
        <v>4601</v>
      </c>
      <c r="I63" s="33" t="s">
        <v>96</v>
      </c>
      <c r="J63" s="34" t="s">
        <v>4602</v>
      </c>
      <c r="K63" s="35"/>
      <c r="L63" s="34" t="s">
        <v>4181</v>
      </c>
      <c r="M63" s="35" t="s">
        <v>29</v>
      </c>
      <c r="N63" s="34" t="s">
        <v>4603</v>
      </c>
      <c r="O63" s="35" t="s">
        <v>816</v>
      </c>
      <c r="P63" s="35" t="s">
        <v>8</v>
      </c>
    </row>
    <row r="64" spans="1:16" ht="13.2" customHeight="1" x14ac:dyDescent="0.25">
      <c r="A64" s="33">
        <v>62</v>
      </c>
      <c r="B64" s="34" t="s">
        <v>4604</v>
      </c>
      <c r="C64" s="35"/>
      <c r="D64" s="34" t="s">
        <v>4605</v>
      </c>
      <c r="E64" s="34" t="s">
        <v>4606</v>
      </c>
      <c r="F64" s="34" t="s">
        <v>4607</v>
      </c>
      <c r="G64" s="34" t="s">
        <v>4608</v>
      </c>
      <c r="H64" s="34" t="s">
        <v>4609</v>
      </c>
      <c r="I64" s="33" t="s">
        <v>84</v>
      </c>
      <c r="J64" s="34" t="s">
        <v>4610</v>
      </c>
      <c r="K64" s="35"/>
      <c r="L64" s="34" t="s">
        <v>4181</v>
      </c>
      <c r="M64" s="35" t="s">
        <v>29</v>
      </c>
      <c r="N64" s="34" t="s">
        <v>4611</v>
      </c>
      <c r="O64" s="35" t="s">
        <v>816</v>
      </c>
      <c r="P64" s="35" t="s">
        <v>8</v>
      </c>
    </row>
    <row r="65" spans="1:17" ht="13.2" customHeight="1" x14ac:dyDescent="0.25">
      <c r="A65" s="33">
        <v>63</v>
      </c>
      <c r="B65" s="34" t="s">
        <v>4612</v>
      </c>
      <c r="C65" s="35"/>
      <c r="D65" s="34" t="s">
        <v>4613</v>
      </c>
      <c r="E65" s="34" t="s">
        <v>4614</v>
      </c>
      <c r="F65" s="34" t="s">
        <v>4615</v>
      </c>
      <c r="G65" s="34" t="s">
        <v>4616</v>
      </c>
      <c r="H65" s="34" t="s">
        <v>4617</v>
      </c>
      <c r="I65" s="33" t="s">
        <v>84</v>
      </c>
      <c r="J65" s="34" t="s">
        <v>4618</v>
      </c>
      <c r="K65" s="35"/>
      <c r="L65" s="34" t="s">
        <v>4181</v>
      </c>
      <c r="M65" s="35" t="s">
        <v>29</v>
      </c>
      <c r="N65" s="34" t="s">
        <v>4619</v>
      </c>
      <c r="O65" s="35" t="s">
        <v>816</v>
      </c>
      <c r="P65" s="35" t="s">
        <v>8</v>
      </c>
    </row>
    <row r="66" spans="1:17" ht="13.2" customHeight="1" x14ac:dyDescent="0.25">
      <c r="A66" s="33">
        <v>64</v>
      </c>
      <c r="B66" s="34" t="s">
        <v>4620</v>
      </c>
      <c r="C66" s="35"/>
      <c r="D66" s="34" t="s">
        <v>4621</v>
      </c>
      <c r="E66" s="34" t="s">
        <v>4622</v>
      </c>
      <c r="F66" s="34" t="s">
        <v>4623</v>
      </c>
      <c r="G66" s="34" t="s">
        <v>4624</v>
      </c>
      <c r="H66" s="34" t="s">
        <v>4625</v>
      </c>
      <c r="I66" s="33" t="s">
        <v>96</v>
      </c>
      <c r="J66" s="34" t="s">
        <v>4626</v>
      </c>
      <c r="K66" s="35"/>
      <c r="L66" s="34" t="s">
        <v>4594</v>
      </c>
      <c r="M66" s="35" t="s">
        <v>29</v>
      </c>
      <c r="N66" s="34" t="s">
        <v>4627</v>
      </c>
      <c r="O66" s="35" t="s">
        <v>816</v>
      </c>
      <c r="P66" s="35" t="s">
        <v>8</v>
      </c>
    </row>
    <row r="67" spans="1:17" ht="13.2" customHeight="1" x14ac:dyDescent="0.25">
      <c r="A67" s="33">
        <v>65</v>
      </c>
      <c r="B67" s="34" t="s">
        <v>4628</v>
      </c>
      <c r="C67" s="35"/>
      <c r="D67" s="34" t="s">
        <v>4629</v>
      </c>
      <c r="E67" s="34" t="s">
        <v>4630</v>
      </c>
      <c r="F67" s="34" t="s">
        <v>4631</v>
      </c>
      <c r="G67" s="34" t="s">
        <v>4632</v>
      </c>
      <c r="H67" s="34" t="s">
        <v>4633</v>
      </c>
      <c r="I67" s="33" t="s">
        <v>123</v>
      </c>
      <c r="J67" s="34" t="s">
        <v>4634</v>
      </c>
      <c r="K67" s="35"/>
      <c r="L67" s="34" t="s">
        <v>4181</v>
      </c>
      <c r="M67" s="35" t="s">
        <v>29</v>
      </c>
      <c r="N67" s="34" t="s">
        <v>4635</v>
      </c>
      <c r="O67" s="35" t="s">
        <v>816</v>
      </c>
      <c r="P67" s="35" t="s">
        <v>8</v>
      </c>
    </row>
    <row r="68" spans="1:17" ht="13.2" customHeight="1" x14ac:dyDescent="0.25">
      <c r="A68" s="33">
        <v>66</v>
      </c>
      <c r="B68" s="34" t="s">
        <v>4636</v>
      </c>
      <c r="C68" s="35"/>
      <c r="D68" s="34" t="s">
        <v>4637</v>
      </c>
      <c r="E68" s="34" t="s">
        <v>4638</v>
      </c>
      <c r="F68" s="34" t="s">
        <v>4639</v>
      </c>
      <c r="G68" s="34" t="s">
        <v>4640</v>
      </c>
      <c r="H68" s="34" t="s">
        <v>4641</v>
      </c>
      <c r="I68" s="33" t="s">
        <v>96</v>
      </c>
      <c r="J68" s="34" t="s">
        <v>4642</v>
      </c>
      <c r="K68" s="35"/>
      <c r="L68" s="34" t="s">
        <v>4181</v>
      </c>
      <c r="M68" s="35" t="s">
        <v>29</v>
      </c>
      <c r="N68" s="34" t="s">
        <v>4643</v>
      </c>
      <c r="O68" s="35" t="s">
        <v>816</v>
      </c>
      <c r="P68" s="35" t="s">
        <v>8</v>
      </c>
    </row>
    <row r="69" spans="1:17" ht="13.2" customHeight="1" x14ac:dyDescent="0.25">
      <c r="A69" s="33">
        <v>67</v>
      </c>
      <c r="B69" s="34" t="s">
        <v>4644</v>
      </c>
      <c r="C69" s="35"/>
      <c r="D69" s="34" t="s">
        <v>4645</v>
      </c>
      <c r="E69" s="34" t="s">
        <v>4646</v>
      </c>
      <c r="F69" s="34" t="s">
        <v>4647</v>
      </c>
      <c r="G69" s="34" t="s">
        <v>4648</v>
      </c>
      <c r="H69" s="34" t="s">
        <v>4649</v>
      </c>
      <c r="I69" s="33" t="s">
        <v>84</v>
      </c>
      <c r="J69" s="34" t="s">
        <v>4650</v>
      </c>
      <c r="K69" s="35"/>
      <c r="L69" s="34" t="s">
        <v>4181</v>
      </c>
      <c r="M69" s="35" t="s">
        <v>29</v>
      </c>
      <c r="N69" s="34" t="s">
        <v>4651</v>
      </c>
      <c r="O69" s="35" t="s">
        <v>816</v>
      </c>
      <c r="P69" s="35" t="s">
        <v>1849</v>
      </c>
      <c r="Q69" s="2"/>
    </row>
    <row r="70" spans="1:17" ht="13.2" customHeight="1" x14ac:dyDescent="0.25">
      <c r="A70" s="33">
        <v>68</v>
      </c>
      <c r="B70" s="34" t="s">
        <v>4652</v>
      </c>
      <c r="C70" s="35"/>
      <c r="D70" s="34" t="s">
        <v>110</v>
      </c>
      <c r="E70" s="34" t="s">
        <v>4653</v>
      </c>
      <c r="F70" s="34" t="s">
        <v>109</v>
      </c>
      <c r="G70" s="34" t="s">
        <v>4654</v>
      </c>
      <c r="H70" s="34" t="s">
        <v>4655</v>
      </c>
      <c r="I70" s="33" t="s">
        <v>90</v>
      </c>
      <c r="J70" s="34" t="s">
        <v>4656</v>
      </c>
      <c r="K70" s="35"/>
      <c r="L70" s="34" t="s">
        <v>4181</v>
      </c>
      <c r="M70" s="35" t="s">
        <v>29</v>
      </c>
      <c r="N70" s="34" t="s">
        <v>4657</v>
      </c>
      <c r="O70" s="35" t="s">
        <v>816</v>
      </c>
      <c r="P70" s="35" t="s">
        <v>1849</v>
      </c>
      <c r="Q70" s="2"/>
    </row>
    <row r="71" spans="1:17" ht="13.2" customHeight="1" x14ac:dyDescent="0.25">
      <c r="A71" s="33">
        <v>69</v>
      </c>
      <c r="B71" s="34" t="s">
        <v>4658</v>
      </c>
      <c r="C71" s="35"/>
      <c r="D71" s="34" t="s">
        <v>4659</v>
      </c>
      <c r="E71" s="34" t="s">
        <v>4660</v>
      </c>
      <c r="F71" s="34" t="s">
        <v>4661</v>
      </c>
      <c r="G71" s="34" t="s">
        <v>4662</v>
      </c>
      <c r="H71" s="34" t="s">
        <v>4663</v>
      </c>
      <c r="I71" s="33" t="s">
        <v>84</v>
      </c>
      <c r="J71" s="34" t="s">
        <v>4664</v>
      </c>
      <c r="K71" s="35"/>
      <c r="L71" s="34" t="s">
        <v>4181</v>
      </c>
      <c r="M71" s="35" t="s">
        <v>29</v>
      </c>
      <c r="N71" s="34" t="s">
        <v>4665</v>
      </c>
      <c r="O71" s="35" t="s">
        <v>816</v>
      </c>
      <c r="P71" s="35" t="s">
        <v>1849</v>
      </c>
      <c r="Q71" s="2"/>
    </row>
    <row r="72" spans="1:17" ht="13.2" customHeight="1" x14ac:dyDescent="0.25">
      <c r="A72" s="33">
        <v>70</v>
      </c>
      <c r="B72" s="34" t="s">
        <v>4666</v>
      </c>
      <c r="C72" s="35"/>
      <c r="D72" s="34" t="s">
        <v>2239</v>
      </c>
      <c r="E72" s="34" t="s">
        <v>4667</v>
      </c>
      <c r="F72" s="34" t="s">
        <v>4413</v>
      </c>
      <c r="G72" s="34" t="s">
        <v>4668</v>
      </c>
      <c r="H72" s="34" t="s">
        <v>4669</v>
      </c>
      <c r="I72" s="33" t="s">
        <v>84</v>
      </c>
      <c r="J72" s="34" t="s">
        <v>4670</v>
      </c>
      <c r="K72" s="35"/>
      <c r="L72" s="34" t="s">
        <v>4181</v>
      </c>
      <c r="M72" s="35" t="s">
        <v>29</v>
      </c>
      <c r="N72" s="34" t="s">
        <v>4671</v>
      </c>
      <c r="O72" s="35" t="s">
        <v>816</v>
      </c>
      <c r="P72" s="35" t="s">
        <v>1849</v>
      </c>
      <c r="Q72" s="2"/>
    </row>
    <row r="73" spans="1:17" ht="13.2" customHeight="1" x14ac:dyDescent="0.25">
      <c r="A73" s="33">
        <v>71</v>
      </c>
      <c r="B73" s="34" t="s">
        <v>4672</v>
      </c>
      <c r="C73" s="35"/>
      <c r="D73" s="34" t="s">
        <v>4673</v>
      </c>
      <c r="E73" s="34" t="s">
        <v>4674</v>
      </c>
      <c r="F73" s="34" t="s">
        <v>4675</v>
      </c>
      <c r="G73" s="34" t="s">
        <v>4676</v>
      </c>
      <c r="H73" s="34" t="s">
        <v>4677</v>
      </c>
      <c r="I73" s="33" t="s">
        <v>84</v>
      </c>
      <c r="J73" s="34" t="s">
        <v>4678</v>
      </c>
      <c r="K73" s="35"/>
      <c r="L73" s="34" t="s">
        <v>4181</v>
      </c>
      <c r="M73" s="35" t="s">
        <v>29</v>
      </c>
      <c r="N73" s="34" t="s">
        <v>4679</v>
      </c>
      <c r="O73" s="35" t="s">
        <v>816</v>
      </c>
      <c r="P73" s="35" t="s">
        <v>1849</v>
      </c>
      <c r="Q73" s="2"/>
    </row>
    <row r="74" spans="1:17" ht="13.2" customHeight="1" x14ac:dyDescent="0.25">
      <c r="A74" s="33">
        <v>72</v>
      </c>
      <c r="B74" s="34" t="s">
        <v>4680</v>
      </c>
      <c r="C74" s="35"/>
      <c r="D74" s="34" t="s">
        <v>4681</v>
      </c>
      <c r="E74" s="34" t="s">
        <v>4682</v>
      </c>
      <c r="F74" s="34" t="s">
        <v>4683</v>
      </c>
      <c r="G74" s="34" t="s">
        <v>4684</v>
      </c>
      <c r="H74" s="34" t="s">
        <v>4685</v>
      </c>
      <c r="I74" s="33" t="s">
        <v>96</v>
      </c>
      <c r="J74" s="34" t="s">
        <v>4686</v>
      </c>
      <c r="K74" s="35"/>
      <c r="L74" s="34" t="s">
        <v>4181</v>
      </c>
      <c r="M74" s="35" t="s">
        <v>29</v>
      </c>
      <c r="N74" s="34" t="s">
        <v>4687</v>
      </c>
      <c r="O74" s="35" t="s">
        <v>816</v>
      </c>
      <c r="P74" s="35" t="s">
        <v>1849</v>
      </c>
      <c r="Q74" s="2"/>
    </row>
    <row r="75" spans="1:17" ht="13.2" customHeight="1" x14ac:dyDescent="0.25">
      <c r="A75" s="33">
        <v>73</v>
      </c>
      <c r="B75" s="34" t="s">
        <v>4688</v>
      </c>
      <c r="C75" s="35"/>
      <c r="D75" s="34" t="s">
        <v>4689</v>
      </c>
      <c r="E75" s="34" t="s">
        <v>4690</v>
      </c>
      <c r="F75" s="34" t="s">
        <v>4691</v>
      </c>
      <c r="G75" s="34" t="s">
        <v>4692</v>
      </c>
      <c r="H75" s="34" t="s">
        <v>4693</v>
      </c>
      <c r="I75" s="33" t="s">
        <v>84</v>
      </c>
      <c r="J75" s="34" t="s">
        <v>4694</v>
      </c>
      <c r="K75" s="35"/>
      <c r="L75" s="34" t="s">
        <v>4181</v>
      </c>
      <c r="M75" s="35" t="s">
        <v>29</v>
      </c>
      <c r="N75" s="34" t="s">
        <v>4695</v>
      </c>
      <c r="O75" s="35" t="s">
        <v>816</v>
      </c>
      <c r="P75" s="35" t="s">
        <v>1849</v>
      </c>
      <c r="Q75" s="2"/>
    </row>
    <row r="76" spans="1:17" ht="13.2" customHeight="1" x14ac:dyDescent="0.25">
      <c r="A76" s="33">
        <v>74</v>
      </c>
      <c r="B76" s="34" t="s">
        <v>4696</v>
      </c>
      <c r="C76" s="35"/>
      <c r="D76" s="34" t="s">
        <v>4697</v>
      </c>
      <c r="E76" s="34" t="s">
        <v>4698</v>
      </c>
      <c r="F76" s="34" t="s">
        <v>4699</v>
      </c>
      <c r="G76" s="34" t="s">
        <v>4700</v>
      </c>
      <c r="H76" s="34" t="s">
        <v>4701</v>
      </c>
      <c r="I76" s="33" t="s">
        <v>84</v>
      </c>
      <c r="J76" s="34" t="s">
        <v>4702</v>
      </c>
      <c r="K76" s="35"/>
      <c r="L76" s="34" t="s">
        <v>4181</v>
      </c>
      <c r="M76" s="35" t="s">
        <v>29</v>
      </c>
      <c r="N76" s="34" t="s">
        <v>4703</v>
      </c>
      <c r="O76" s="35" t="s">
        <v>816</v>
      </c>
      <c r="P76" s="35" t="s">
        <v>1849</v>
      </c>
      <c r="Q76" s="2"/>
    </row>
    <row r="77" spans="1:17" ht="13.2" customHeight="1" x14ac:dyDescent="0.25">
      <c r="A77" s="33">
        <v>75</v>
      </c>
      <c r="B77" s="34" t="s">
        <v>4704</v>
      </c>
      <c r="C77" s="35"/>
      <c r="D77" s="34" t="s">
        <v>4705</v>
      </c>
      <c r="E77" s="34" t="s">
        <v>4706</v>
      </c>
      <c r="F77" s="34" t="s">
        <v>4707</v>
      </c>
      <c r="G77" s="34" t="s">
        <v>4177</v>
      </c>
      <c r="H77" s="34"/>
      <c r="I77" s="33" t="s">
        <v>84</v>
      </c>
      <c r="J77" s="34" t="s">
        <v>4708</v>
      </c>
      <c r="K77" s="35"/>
      <c r="L77" s="34" t="s">
        <v>4181</v>
      </c>
      <c r="M77" s="35" t="s">
        <v>29</v>
      </c>
      <c r="N77" s="34" t="s">
        <v>4709</v>
      </c>
      <c r="O77" s="35" t="s">
        <v>816</v>
      </c>
      <c r="P77" s="35" t="s">
        <v>1849</v>
      </c>
      <c r="Q77" s="2"/>
    </row>
    <row r="78" spans="1:17" ht="13.2" customHeight="1" x14ac:dyDescent="0.25">
      <c r="A78" s="33">
        <v>76</v>
      </c>
      <c r="B78" s="34" t="s">
        <v>4710</v>
      </c>
      <c r="C78" s="35"/>
      <c r="D78" s="34" t="s">
        <v>4711</v>
      </c>
      <c r="E78" s="34" t="s">
        <v>4712</v>
      </c>
      <c r="F78" s="34" t="s">
        <v>4713</v>
      </c>
      <c r="G78" s="34" t="s">
        <v>4714</v>
      </c>
      <c r="H78" s="34" t="s">
        <v>4715</v>
      </c>
      <c r="I78" s="33" t="s">
        <v>96</v>
      </c>
      <c r="J78" s="34" t="s">
        <v>4716</v>
      </c>
      <c r="K78" s="35"/>
      <c r="L78" s="34" t="s">
        <v>4181</v>
      </c>
      <c r="M78" s="35" t="s">
        <v>29</v>
      </c>
      <c r="N78" s="34" t="s">
        <v>4717</v>
      </c>
      <c r="O78" s="35" t="s">
        <v>816</v>
      </c>
      <c r="P78" s="35" t="s">
        <v>1849</v>
      </c>
      <c r="Q78" s="2"/>
    </row>
    <row r="79" spans="1:17" ht="13.2" customHeight="1" x14ac:dyDescent="0.25">
      <c r="A79" s="33">
        <v>77</v>
      </c>
      <c r="B79" s="34" t="s">
        <v>4718</v>
      </c>
      <c r="C79" s="35"/>
      <c r="D79" s="34" t="s">
        <v>4719</v>
      </c>
      <c r="E79" s="34" t="s">
        <v>4720</v>
      </c>
      <c r="F79" s="34" t="s">
        <v>4721</v>
      </c>
      <c r="G79" s="34" t="s">
        <v>4722</v>
      </c>
      <c r="H79" s="34" t="s">
        <v>4723</v>
      </c>
      <c r="I79" s="33" t="s">
        <v>84</v>
      </c>
      <c r="J79" s="34" t="s">
        <v>4724</v>
      </c>
      <c r="K79" s="35"/>
      <c r="L79" s="34" t="s">
        <v>4181</v>
      </c>
      <c r="M79" s="35" t="s">
        <v>29</v>
      </c>
      <c r="N79" s="34" t="s">
        <v>4725</v>
      </c>
      <c r="O79" s="35" t="s">
        <v>816</v>
      </c>
      <c r="P79" s="35" t="s">
        <v>1849</v>
      </c>
      <c r="Q79" s="2"/>
    </row>
    <row r="80" spans="1:17" ht="13.2" customHeight="1" x14ac:dyDescent="0.25">
      <c r="A80" s="33">
        <v>78</v>
      </c>
      <c r="B80" s="34" t="s">
        <v>4726</v>
      </c>
      <c r="C80" s="35"/>
      <c r="D80" s="34" t="s">
        <v>3184</v>
      </c>
      <c r="E80" s="34" t="s">
        <v>4727</v>
      </c>
      <c r="F80" s="34" t="s">
        <v>4728</v>
      </c>
      <c r="G80" s="34" t="s">
        <v>4729</v>
      </c>
      <c r="H80" s="34" t="s">
        <v>4730</v>
      </c>
      <c r="I80" s="33" t="s">
        <v>84</v>
      </c>
      <c r="J80" s="34" t="s">
        <v>4731</v>
      </c>
      <c r="K80" s="35"/>
      <c r="L80" s="34" t="s">
        <v>4181</v>
      </c>
      <c r="M80" s="35" t="s">
        <v>29</v>
      </c>
      <c r="N80" s="34" t="s">
        <v>4732</v>
      </c>
      <c r="O80" s="35" t="s">
        <v>816</v>
      </c>
      <c r="P80" s="35" t="s">
        <v>1849</v>
      </c>
      <c r="Q80" s="2"/>
    </row>
    <row r="81" spans="1:17" ht="13.2" customHeight="1" x14ac:dyDescent="0.25">
      <c r="A81" s="33">
        <v>79</v>
      </c>
      <c r="B81" s="34" t="s">
        <v>4733</v>
      </c>
      <c r="C81" s="35"/>
      <c r="D81" s="34" t="s">
        <v>3523</v>
      </c>
      <c r="E81" s="34" t="s">
        <v>3181</v>
      </c>
      <c r="F81" s="34" t="s">
        <v>4734</v>
      </c>
      <c r="G81" s="34" t="s">
        <v>4735</v>
      </c>
      <c r="H81" s="34" t="s">
        <v>4736</v>
      </c>
      <c r="I81" s="33" t="s">
        <v>84</v>
      </c>
      <c r="J81" s="34" t="s">
        <v>4737</v>
      </c>
      <c r="K81" s="35"/>
      <c r="L81" s="34" t="s">
        <v>4181</v>
      </c>
      <c r="M81" s="35" t="s">
        <v>29</v>
      </c>
      <c r="N81" s="34" t="s">
        <v>4738</v>
      </c>
      <c r="O81" s="35" t="s">
        <v>816</v>
      </c>
      <c r="P81" s="35" t="s">
        <v>1849</v>
      </c>
      <c r="Q81" s="2"/>
    </row>
    <row r="82" spans="1:17" ht="13.2" customHeight="1" x14ac:dyDescent="0.25">
      <c r="A82" s="33">
        <v>80</v>
      </c>
      <c r="B82" s="34" t="s">
        <v>4739</v>
      </c>
      <c r="C82" s="35"/>
      <c r="D82" s="34" t="s">
        <v>4707</v>
      </c>
      <c r="E82" s="34" t="s">
        <v>4177</v>
      </c>
      <c r="F82" s="34" t="s">
        <v>4740</v>
      </c>
      <c r="G82" s="34" t="s">
        <v>4741</v>
      </c>
      <c r="H82" s="34" t="s">
        <v>4742</v>
      </c>
      <c r="I82" s="33" t="s">
        <v>84</v>
      </c>
      <c r="J82" s="34" t="s">
        <v>4743</v>
      </c>
      <c r="K82" s="35"/>
      <c r="L82" s="34" t="s">
        <v>4181</v>
      </c>
      <c r="M82" s="35" t="s">
        <v>29</v>
      </c>
      <c r="N82" s="34" t="s">
        <v>4744</v>
      </c>
      <c r="O82" s="35" t="s">
        <v>816</v>
      </c>
      <c r="P82" s="35" t="s">
        <v>1849</v>
      </c>
      <c r="Q82" s="2"/>
    </row>
    <row r="83" spans="1:17" ht="13.2" customHeight="1" x14ac:dyDescent="0.25">
      <c r="A83" s="33">
        <v>81</v>
      </c>
      <c r="B83" s="34" t="s">
        <v>4745</v>
      </c>
      <c r="C83" s="35"/>
      <c r="D83" s="34" t="s">
        <v>4746</v>
      </c>
      <c r="E83" s="34" t="s">
        <v>4747</v>
      </c>
      <c r="F83" s="34" t="s">
        <v>4748</v>
      </c>
      <c r="G83" s="34" t="s">
        <v>4749</v>
      </c>
      <c r="H83" s="34" t="s">
        <v>4750</v>
      </c>
      <c r="I83" s="33" t="s">
        <v>84</v>
      </c>
      <c r="J83" s="34" t="s">
        <v>4751</v>
      </c>
      <c r="K83" s="35"/>
      <c r="L83" s="34" t="s">
        <v>4181</v>
      </c>
      <c r="M83" s="35" t="s">
        <v>29</v>
      </c>
      <c r="N83" s="34" t="s">
        <v>4752</v>
      </c>
      <c r="O83" s="35" t="s">
        <v>816</v>
      </c>
      <c r="P83" s="35" t="s">
        <v>1849</v>
      </c>
      <c r="Q83" s="2"/>
    </row>
    <row r="84" spans="1:17" ht="13.2" customHeight="1" x14ac:dyDescent="0.25">
      <c r="A84" s="33">
        <v>82</v>
      </c>
      <c r="B84" s="34" t="s">
        <v>4753</v>
      </c>
      <c r="C84" s="35"/>
      <c r="D84" s="34" t="s">
        <v>4496</v>
      </c>
      <c r="E84" s="34" t="s">
        <v>4754</v>
      </c>
      <c r="F84" s="34" t="s">
        <v>4755</v>
      </c>
      <c r="G84" s="34" t="s">
        <v>4756</v>
      </c>
      <c r="H84" s="34" t="s">
        <v>4757</v>
      </c>
      <c r="I84" s="33" t="s">
        <v>84</v>
      </c>
      <c r="J84" s="34" t="s">
        <v>4758</v>
      </c>
      <c r="K84" s="35"/>
      <c r="L84" s="34" t="s">
        <v>4181</v>
      </c>
      <c r="M84" s="35" t="s">
        <v>29</v>
      </c>
      <c r="N84" s="34" t="s">
        <v>4759</v>
      </c>
      <c r="O84" s="35" t="s">
        <v>816</v>
      </c>
      <c r="P84" s="35" t="s">
        <v>1849</v>
      </c>
      <c r="Q84" s="2"/>
    </row>
    <row r="85" spans="1:17" ht="13.2" customHeight="1" x14ac:dyDescent="0.25">
      <c r="A85" s="33">
        <v>83</v>
      </c>
      <c r="B85" s="34" t="s">
        <v>4760</v>
      </c>
      <c r="C85" s="35"/>
      <c r="D85" s="34" t="s">
        <v>4761</v>
      </c>
      <c r="E85" s="34" t="s">
        <v>4762</v>
      </c>
      <c r="F85" s="34" t="s">
        <v>4763</v>
      </c>
      <c r="G85" s="34" t="s">
        <v>4764</v>
      </c>
      <c r="H85" s="34" t="s">
        <v>4765</v>
      </c>
      <c r="I85" s="33">
        <v>4</v>
      </c>
      <c r="J85" s="34" t="s">
        <v>4766</v>
      </c>
      <c r="K85" s="35"/>
      <c r="L85" s="34" t="s">
        <v>4594</v>
      </c>
      <c r="M85" s="35" t="s">
        <v>29</v>
      </c>
      <c r="N85" s="34" t="s">
        <v>4767</v>
      </c>
      <c r="O85" s="35" t="s">
        <v>164</v>
      </c>
      <c r="P85" s="35" t="s">
        <v>1865</v>
      </c>
      <c r="Q85" s="2"/>
    </row>
    <row r="86" spans="1:17" ht="13.2" customHeight="1" x14ac:dyDescent="0.25">
      <c r="A86" s="33">
        <v>84</v>
      </c>
      <c r="B86" s="34" t="s">
        <v>4768</v>
      </c>
      <c r="C86" s="35"/>
      <c r="D86" s="34" t="s">
        <v>4769</v>
      </c>
      <c r="E86" s="34" t="s">
        <v>4770</v>
      </c>
      <c r="F86" s="34" t="s">
        <v>2251</v>
      </c>
      <c r="G86" s="34" t="s">
        <v>4771</v>
      </c>
      <c r="H86" s="34" t="s">
        <v>4772</v>
      </c>
      <c r="I86" s="33">
        <v>1</v>
      </c>
      <c r="J86" s="34" t="s">
        <v>4773</v>
      </c>
      <c r="K86" s="35"/>
      <c r="L86" s="34" t="s">
        <v>4181</v>
      </c>
      <c r="M86" s="35" t="s">
        <v>29</v>
      </c>
      <c r="N86" s="34" t="s">
        <v>4774</v>
      </c>
      <c r="O86" s="35" t="s">
        <v>164</v>
      </c>
      <c r="P86" s="35" t="s">
        <v>1865</v>
      </c>
      <c r="Q86" s="2"/>
    </row>
    <row r="87" spans="1:17" ht="13.2" customHeight="1" x14ac:dyDescent="0.25">
      <c r="A87" s="33">
        <v>85</v>
      </c>
      <c r="B87" s="34" t="s">
        <v>4775</v>
      </c>
      <c r="C87" s="35"/>
      <c r="D87" s="34" t="s">
        <v>4776</v>
      </c>
      <c r="E87" s="34" t="s">
        <v>4777</v>
      </c>
      <c r="F87" s="34" t="s">
        <v>4778</v>
      </c>
      <c r="G87" s="34" t="s">
        <v>4779</v>
      </c>
      <c r="H87" s="34" t="s">
        <v>4780</v>
      </c>
      <c r="I87" s="33">
        <v>3</v>
      </c>
      <c r="J87" s="34" t="s">
        <v>4781</v>
      </c>
      <c r="K87" s="35"/>
      <c r="L87" s="34" t="s">
        <v>4594</v>
      </c>
      <c r="M87" s="35" t="s">
        <v>29</v>
      </c>
      <c r="N87" s="34" t="s">
        <v>4782</v>
      </c>
      <c r="O87" s="35" t="s">
        <v>164</v>
      </c>
      <c r="P87" s="35" t="s">
        <v>1865</v>
      </c>
      <c r="Q87" s="2"/>
    </row>
    <row r="88" spans="1:17" ht="13.2" customHeight="1" x14ac:dyDescent="0.25">
      <c r="A88" s="33">
        <v>86</v>
      </c>
      <c r="B88" s="34" t="s">
        <v>4783</v>
      </c>
      <c r="C88" s="35"/>
      <c r="D88" s="34" t="s">
        <v>4784</v>
      </c>
      <c r="E88" s="34" t="s">
        <v>4785</v>
      </c>
      <c r="F88" s="34" t="s">
        <v>4786</v>
      </c>
      <c r="G88" s="34" t="s">
        <v>4787</v>
      </c>
      <c r="H88" s="34" t="s">
        <v>4788</v>
      </c>
      <c r="I88" s="33">
        <v>1</v>
      </c>
      <c r="J88" s="34" t="s">
        <v>4789</v>
      </c>
      <c r="K88" s="35"/>
      <c r="L88" s="34" t="s">
        <v>4594</v>
      </c>
      <c r="M88" s="35" t="s">
        <v>29</v>
      </c>
      <c r="N88" s="34" t="s">
        <v>4790</v>
      </c>
      <c r="O88" s="35" t="s">
        <v>164</v>
      </c>
      <c r="P88" s="35" t="s">
        <v>1865</v>
      </c>
      <c r="Q88" s="2"/>
    </row>
    <row r="89" spans="1:17" ht="13.2" customHeight="1" x14ac:dyDescent="0.25">
      <c r="A89" s="33">
        <v>87</v>
      </c>
      <c r="B89" s="34" t="s">
        <v>4791</v>
      </c>
      <c r="C89" s="35"/>
      <c r="D89" s="34" t="s">
        <v>4792</v>
      </c>
      <c r="E89" s="34" t="s">
        <v>4793</v>
      </c>
      <c r="F89" s="34" t="s">
        <v>4794</v>
      </c>
      <c r="G89" s="34" t="s">
        <v>4795</v>
      </c>
      <c r="H89" s="34" t="s">
        <v>4796</v>
      </c>
      <c r="I89" s="33">
        <v>2</v>
      </c>
      <c r="J89" s="34" t="s">
        <v>4797</v>
      </c>
      <c r="K89" s="35"/>
      <c r="L89" s="34" t="s">
        <v>4594</v>
      </c>
      <c r="M89" s="35" t="s">
        <v>29</v>
      </c>
      <c r="N89" s="34" t="s">
        <v>4798</v>
      </c>
      <c r="O89" s="35" t="s">
        <v>164</v>
      </c>
      <c r="P89" s="35" t="s">
        <v>1865</v>
      </c>
      <c r="Q89" s="2"/>
    </row>
    <row r="90" spans="1:17" ht="13.2" customHeight="1" x14ac:dyDescent="0.25">
      <c r="A90" s="33">
        <v>88</v>
      </c>
      <c r="B90" s="34" t="s">
        <v>4799</v>
      </c>
      <c r="C90" s="35"/>
      <c r="D90" s="34" t="s">
        <v>4175</v>
      </c>
      <c r="E90" s="34" t="s">
        <v>2274</v>
      </c>
      <c r="F90" s="34" t="s">
        <v>4178</v>
      </c>
      <c r="G90" s="34" t="s">
        <v>4800</v>
      </c>
      <c r="H90" s="34"/>
      <c r="I90" s="33" t="s">
        <v>84</v>
      </c>
      <c r="J90" s="34" t="s">
        <v>4801</v>
      </c>
      <c r="K90" s="35"/>
      <c r="L90" s="34" t="s">
        <v>4181</v>
      </c>
      <c r="M90" s="35" t="s">
        <v>29</v>
      </c>
      <c r="N90" s="34" t="s">
        <v>4802</v>
      </c>
      <c r="O90" s="35" t="s">
        <v>164</v>
      </c>
      <c r="P90" s="35" t="s">
        <v>2017</v>
      </c>
      <c r="Q90" s="2"/>
    </row>
    <row r="91" spans="1:17" ht="13.2" customHeight="1" x14ac:dyDescent="0.25">
      <c r="A91" s="33">
        <v>89</v>
      </c>
      <c r="B91" s="34" t="s">
        <v>4803</v>
      </c>
      <c r="C91" s="35"/>
      <c r="D91" s="34" t="s">
        <v>4800</v>
      </c>
      <c r="E91" s="34" t="s">
        <v>4705</v>
      </c>
      <c r="F91" s="34" t="s">
        <v>4706</v>
      </c>
      <c r="G91" s="34" t="s">
        <v>4707</v>
      </c>
      <c r="H91" s="34"/>
      <c r="I91" s="33" t="s">
        <v>84</v>
      </c>
      <c r="J91" s="34" t="s">
        <v>4804</v>
      </c>
      <c r="K91" s="35"/>
      <c r="L91" s="34" t="s">
        <v>4181</v>
      </c>
      <c r="M91" s="35" t="s">
        <v>29</v>
      </c>
      <c r="N91" s="34" t="s">
        <v>2066</v>
      </c>
      <c r="O91" s="35" t="s">
        <v>164</v>
      </c>
      <c r="P91" s="35" t="s">
        <v>2017</v>
      </c>
      <c r="Q91" s="2"/>
    </row>
    <row r="92" spans="1:17" ht="13.2" customHeight="1" x14ac:dyDescent="0.25">
      <c r="A92" s="33">
        <v>90</v>
      </c>
      <c r="B92" s="34" t="s">
        <v>4805</v>
      </c>
      <c r="C92" s="35"/>
      <c r="D92" s="34" t="s">
        <v>4707</v>
      </c>
      <c r="E92" s="34" t="s">
        <v>4177</v>
      </c>
      <c r="F92" s="34" t="s">
        <v>4806</v>
      </c>
      <c r="G92" s="34" t="s">
        <v>4807</v>
      </c>
      <c r="H92" s="34"/>
      <c r="I92" s="33" t="s">
        <v>84</v>
      </c>
      <c r="J92" s="34" t="s">
        <v>4808</v>
      </c>
      <c r="K92" s="35"/>
      <c r="L92" s="34" t="s">
        <v>4181</v>
      </c>
      <c r="M92" s="35" t="s">
        <v>29</v>
      </c>
      <c r="N92" s="34" t="s">
        <v>4809</v>
      </c>
      <c r="O92" s="35" t="s">
        <v>164</v>
      </c>
      <c r="P92" s="35" t="s">
        <v>2017</v>
      </c>
      <c r="Q92" s="2"/>
    </row>
    <row r="93" spans="1:17" ht="13.2" customHeight="1" x14ac:dyDescent="0.25">
      <c r="A93" s="33">
        <v>91</v>
      </c>
      <c r="B93" s="34" t="s">
        <v>4810</v>
      </c>
      <c r="C93" s="35"/>
      <c r="D93" s="34" t="s">
        <v>4807</v>
      </c>
      <c r="E93" s="34" t="s">
        <v>4811</v>
      </c>
      <c r="F93" s="34" t="s">
        <v>4812</v>
      </c>
      <c r="G93" s="34" t="s">
        <v>4176</v>
      </c>
      <c r="H93" s="34"/>
      <c r="I93" s="33" t="s">
        <v>84</v>
      </c>
      <c r="J93" s="34" t="s">
        <v>4813</v>
      </c>
      <c r="K93" s="35"/>
      <c r="L93" s="34" t="s">
        <v>4181</v>
      </c>
      <c r="M93" s="35" t="s">
        <v>29</v>
      </c>
      <c r="N93" s="34" t="s">
        <v>4814</v>
      </c>
      <c r="O93" s="35" t="s">
        <v>164</v>
      </c>
      <c r="P93" s="35" t="s">
        <v>2017</v>
      </c>
      <c r="Q93" s="2"/>
    </row>
    <row r="94" spans="1:17" ht="13.2" customHeight="1" x14ac:dyDescent="0.25">
      <c r="A94" s="33">
        <v>92</v>
      </c>
      <c r="B94" s="34" t="s">
        <v>4815</v>
      </c>
      <c r="C94" s="35"/>
      <c r="D94" s="34" t="s">
        <v>4176</v>
      </c>
      <c r="E94" s="34" t="s">
        <v>4175</v>
      </c>
      <c r="F94" s="34" t="s">
        <v>2274</v>
      </c>
      <c r="G94" s="34" t="s">
        <v>4178</v>
      </c>
      <c r="H94" s="34"/>
      <c r="I94" s="33" t="s">
        <v>84</v>
      </c>
      <c r="J94" s="34" t="s">
        <v>4816</v>
      </c>
      <c r="K94" s="35"/>
      <c r="L94" s="34" t="s">
        <v>4181</v>
      </c>
      <c r="M94" s="35" t="s">
        <v>29</v>
      </c>
      <c r="N94" s="34" t="s">
        <v>4817</v>
      </c>
      <c r="O94" s="35" t="s">
        <v>164</v>
      </c>
      <c r="P94" s="35" t="s">
        <v>2017</v>
      </c>
      <c r="Q94" s="2"/>
    </row>
    <row r="95" spans="1:17" ht="13.2" customHeight="1" x14ac:dyDescent="0.25">
      <c r="A95" s="33">
        <v>93</v>
      </c>
      <c r="B95" s="34" t="s">
        <v>4818</v>
      </c>
      <c r="C95" s="35"/>
      <c r="D95" s="34" t="s">
        <v>4819</v>
      </c>
      <c r="E95" s="34" t="s">
        <v>4820</v>
      </c>
      <c r="F95" s="34" t="s">
        <v>4821</v>
      </c>
      <c r="G95" s="34" t="s">
        <v>4822</v>
      </c>
      <c r="H95" s="34" t="s">
        <v>4823</v>
      </c>
      <c r="I95" s="33" t="s">
        <v>84</v>
      </c>
      <c r="J95" s="34" t="s">
        <v>4824</v>
      </c>
      <c r="K95" s="35"/>
      <c r="L95" s="34" t="s">
        <v>4181</v>
      </c>
      <c r="M95" s="35" t="s">
        <v>29</v>
      </c>
      <c r="N95" s="34" t="s">
        <v>4825</v>
      </c>
      <c r="O95" s="35" t="s">
        <v>164</v>
      </c>
      <c r="P95" s="35" t="s">
        <v>2109</v>
      </c>
      <c r="Q95" s="2"/>
    </row>
    <row r="96" spans="1:17" ht="13.2" customHeight="1" x14ac:dyDescent="0.25">
      <c r="A96" s="33">
        <v>94</v>
      </c>
      <c r="B96" s="34" t="s">
        <v>4826</v>
      </c>
      <c r="C96" s="35"/>
      <c r="D96" s="34" t="s">
        <v>4706</v>
      </c>
      <c r="E96" s="34" t="s">
        <v>4707</v>
      </c>
      <c r="F96" s="34" t="s">
        <v>4177</v>
      </c>
      <c r="G96" s="34" t="s">
        <v>4806</v>
      </c>
      <c r="H96" s="34"/>
      <c r="I96" s="33" t="s">
        <v>84</v>
      </c>
      <c r="J96" s="34" t="s">
        <v>4827</v>
      </c>
      <c r="K96" s="35"/>
      <c r="L96" s="34" t="s">
        <v>4181</v>
      </c>
      <c r="M96" s="35" t="s">
        <v>29</v>
      </c>
      <c r="N96" s="34" t="s">
        <v>4828</v>
      </c>
      <c r="O96" s="35" t="s">
        <v>164</v>
      </c>
      <c r="P96" s="35" t="s">
        <v>2109</v>
      </c>
      <c r="Q96" s="2"/>
    </row>
    <row r="97" spans="1:17" ht="13.2" customHeight="1" x14ac:dyDescent="0.25">
      <c r="A97" s="33">
        <v>95</v>
      </c>
      <c r="B97" s="34" t="s">
        <v>4829</v>
      </c>
      <c r="C97" s="35"/>
      <c r="D97" s="34" t="s">
        <v>4806</v>
      </c>
      <c r="E97" s="34" t="s">
        <v>4830</v>
      </c>
      <c r="F97" s="34" t="s">
        <v>4831</v>
      </c>
      <c r="G97" s="34" t="s">
        <v>4832</v>
      </c>
      <c r="H97" s="34" t="s">
        <v>4833</v>
      </c>
      <c r="I97" s="33" t="s">
        <v>84</v>
      </c>
      <c r="J97" s="34" t="s">
        <v>4834</v>
      </c>
      <c r="K97" s="35"/>
      <c r="L97" s="34" t="s">
        <v>4181</v>
      </c>
      <c r="M97" s="35" t="s">
        <v>29</v>
      </c>
      <c r="N97" s="34" t="s">
        <v>4835</v>
      </c>
      <c r="O97" s="35" t="s">
        <v>164</v>
      </c>
      <c r="P97" s="35" t="s">
        <v>2109</v>
      </c>
      <c r="Q97" s="2"/>
    </row>
    <row r="98" spans="1:17" ht="13.2" customHeight="1" x14ac:dyDescent="0.25">
      <c r="A98" s="33">
        <v>96</v>
      </c>
      <c r="B98" s="34" t="s">
        <v>4836</v>
      </c>
      <c r="C98" s="35"/>
      <c r="D98" s="34" t="s">
        <v>4812</v>
      </c>
      <c r="E98" s="34" t="s">
        <v>4176</v>
      </c>
      <c r="F98" s="34" t="s">
        <v>4175</v>
      </c>
      <c r="G98" s="34" t="s">
        <v>2274</v>
      </c>
      <c r="H98" s="34"/>
      <c r="I98" s="33" t="s">
        <v>84</v>
      </c>
      <c r="J98" s="34" t="s">
        <v>4837</v>
      </c>
      <c r="K98" s="35"/>
      <c r="L98" s="34" t="s">
        <v>4594</v>
      </c>
      <c r="M98" s="35" t="s">
        <v>29</v>
      </c>
      <c r="N98" s="34" t="s">
        <v>3253</v>
      </c>
      <c r="O98" s="35" t="s">
        <v>164</v>
      </c>
      <c r="P98" s="35" t="s">
        <v>2109</v>
      </c>
      <c r="Q98" s="2"/>
    </row>
    <row r="99" spans="1:17" ht="13.2" customHeight="1" x14ac:dyDescent="0.25">
      <c r="A99" s="33">
        <v>97</v>
      </c>
      <c r="B99" s="34" t="s">
        <v>4838</v>
      </c>
      <c r="C99" s="35"/>
      <c r="D99" s="34" t="s">
        <v>4839</v>
      </c>
      <c r="E99" s="34" t="s">
        <v>4840</v>
      </c>
      <c r="F99" s="34" t="s">
        <v>4841</v>
      </c>
      <c r="G99" s="34" t="s">
        <v>4842</v>
      </c>
      <c r="H99" s="34" t="s">
        <v>4843</v>
      </c>
      <c r="I99" s="33" t="s">
        <v>84</v>
      </c>
      <c r="J99" s="34" t="s">
        <v>4844</v>
      </c>
      <c r="K99" s="35"/>
      <c r="L99" s="34" t="s">
        <v>4181</v>
      </c>
      <c r="M99" s="35" t="s">
        <v>29</v>
      </c>
      <c r="N99" s="34" t="s">
        <v>4845</v>
      </c>
      <c r="O99" s="35" t="s">
        <v>164</v>
      </c>
      <c r="P99" s="35" t="s">
        <v>2109</v>
      </c>
      <c r="Q99" s="2"/>
    </row>
    <row r="100" spans="1:17" ht="13.2" customHeight="1" x14ac:dyDescent="0.25">
      <c r="A100" s="33">
        <v>98</v>
      </c>
      <c r="B100" s="34" t="s">
        <v>4846</v>
      </c>
      <c r="C100" s="35"/>
      <c r="D100" s="34" t="s">
        <v>4847</v>
      </c>
      <c r="E100" s="34" t="s">
        <v>4848</v>
      </c>
      <c r="F100" s="34" t="s">
        <v>4849</v>
      </c>
      <c r="G100" s="34" t="s">
        <v>4850</v>
      </c>
      <c r="H100" s="34" t="s">
        <v>4229</v>
      </c>
      <c r="I100" s="33" t="s">
        <v>84</v>
      </c>
      <c r="J100" s="34" t="s">
        <v>4851</v>
      </c>
      <c r="K100" s="35"/>
      <c r="L100" s="34" t="s">
        <v>4181</v>
      </c>
      <c r="M100" s="35" t="s">
        <v>29</v>
      </c>
      <c r="N100" s="34" t="s">
        <v>4852</v>
      </c>
      <c r="O100" s="35" t="s">
        <v>164</v>
      </c>
      <c r="P100" s="35" t="s">
        <v>2109</v>
      </c>
      <c r="Q100" s="2"/>
    </row>
    <row r="101" spans="1:17" ht="13.2" customHeight="1" x14ac:dyDescent="0.25">
      <c r="A101" s="33">
        <v>99</v>
      </c>
      <c r="B101" s="34" t="s">
        <v>4853</v>
      </c>
      <c r="C101" s="35"/>
      <c r="D101" s="34" t="s">
        <v>4854</v>
      </c>
      <c r="E101" s="34" t="s">
        <v>4855</v>
      </c>
      <c r="F101" s="34" t="s">
        <v>4807</v>
      </c>
      <c r="G101" s="34" t="s">
        <v>4532</v>
      </c>
      <c r="H101" s="34"/>
      <c r="I101" s="33" t="s">
        <v>84</v>
      </c>
      <c r="J101" s="34" t="s">
        <v>4856</v>
      </c>
      <c r="K101" s="35"/>
      <c r="L101" s="34" t="s">
        <v>4181</v>
      </c>
      <c r="M101" s="35" t="s">
        <v>29</v>
      </c>
      <c r="N101" s="34" t="s">
        <v>4857</v>
      </c>
      <c r="O101" s="35" t="s">
        <v>164</v>
      </c>
      <c r="P101" s="35" t="s">
        <v>2155</v>
      </c>
      <c r="Q101" s="2"/>
    </row>
    <row r="102" spans="1:17" ht="13.2" customHeight="1" x14ac:dyDescent="0.25">
      <c r="A102" s="33">
        <v>100</v>
      </c>
      <c r="B102" s="34" t="s">
        <v>4858</v>
      </c>
      <c r="C102" s="35"/>
      <c r="D102" s="34" t="s">
        <v>4859</v>
      </c>
      <c r="E102" s="34" t="s">
        <v>4860</v>
      </c>
      <c r="F102" s="34" t="s">
        <v>4861</v>
      </c>
      <c r="G102" s="34" t="s">
        <v>4862</v>
      </c>
      <c r="H102" s="34" t="s">
        <v>4863</v>
      </c>
      <c r="I102" s="33">
        <v>2</v>
      </c>
      <c r="J102" s="34" t="s">
        <v>4864</v>
      </c>
      <c r="K102" s="35"/>
      <c r="L102" s="34" t="s">
        <v>4181</v>
      </c>
      <c r="M102" s="35" t="s">
        <v>29</v>
      </c>
      <c r="N102" s="34" t="s">
        <v>4865</v>
      </c>
      <c r="O102" s="35" t="s">
        <v>164</v>
      </c>
      <c r="P102" s="35" t="s">
        <v>2206</v>
      </c>
    </row>
    <row r="103" spans="1:17" ht="13.2" customHeight="1" x14ac:dyDescent="0.25">
      <c r="A103" s="33">
        <v>101</v>
      </c>
      <c r="B103" s="34" t="s">
        <v>4866</v>
      </c>
      <c r="C103" s="35"/>
      <c r="D103" s="34" t="s">
        <v>905</v>
      </c>
      <c r="E103" s="34" t="s">
        <v>4181</v>
      </c>
      <c r="F103" s="34" t="s">
        <v>1553</v>
      </c>
      <c r="G103" s="34" t="s">
        <v>191</v>
      </c>
      <c r="H103" s="34" t="s">
        <v>1582</v>
      </c>
      <c r="I103" s="33" t="s">
        <v>84</v>
      </c>
      <c r="J103" s="34" t="s">
        <v>4867</v>
      </c>
      <c r="K103" s="35"/>
      <c r="L103" s="34" t="s">
        <v>4181</v>
      </c>
      <c r="M103" s="35" t="s">
        <v>29</v>
      </c>
      <c r="N103" s="34" t="s">
        <v>4868</v>
      </c>
      <c r="O103" s="35" t="s">
        <v>164</v>
      </c>
      <c r="P103" s="35" t="s">
        <v>2206</v>
      </c>
    </row>
    <row r="104" spans="1:17" ht="13.2" customHeight="1" x14ac:dyDescent="0.25">
      <c r="A104" s="33">
        <v>102</v>
      </c>
      <c r="B104" s="34" t="s">
        <v>4869</v>
      </c>
      <c r="C104" s="35"/>
      <c r="D104" s="34" t="s">
        <v>4870</v>
      </c>
      <c r="E104" s="34" t="s">
        <v>4871</v>
      </c>
      <c r="F104" s="34" t="s">
        <v>4872</v>
      </c>
      <c r="G104" s="34" t="s">
        <v>4873</v>
      </c>
      <c r="H104" s="34" t="s">
        <v>4874</v>
      </c>
      <c r="I104" s="33" t="s">
        <v>84</v>
      </c>
      <c r="J104" s="34" t="s">
        <v>4875</v>
      </c>
      <c r="K104" s="35"/>
      <c r="L104" s="34" t="s">
        <v>4181</v>
      </c>
      <c r="M104" s="35" t="s">
        <v>29</v>
      </c>
      <c r="N104" s="34" t="s">
        <v>4876</v>
      </c>
      <c r="O104" s="35" t="s">
        <v>164</v>
      </c>
      <c r="P104" s="35" t="s">
        <v>2436</v>
      </c>
    </row>
    <row r="105" spans="1:17" ht="13.2" customHeight="1" x14ac:dyDescent="0.25">
      <c r="A105" s="33">
        <v>103</v>
      </c>
      <c r="B105" s="34" t="s">
        <v>4877</v>
      </c>
      <c r="C105" s="35"/>
      <c r="D105" s="34" t="s">
        <v>4878</v>
      </c>
      <c r="E105" s="34" t="s">
        <v>4879</v>
      </c>
      <c r="F105" s="34" t="s">
        <v>4880</v>
      </c>
      <c r="G105" s="34" t="s">
        <v>4881</v>
      </c>
      <c r="H105" s="34" t="s">
        <v>4882</v>
      </c>
      <c r="I105" s="33" t="s">
        <v>84</v>
      </c>
      <c r="J105" s="34" t="s">
        <v>4883</v>
      </c>
      <c r="K105" s="35"/>
      <c r="L105" s="34" t="s">
        <v>4181</v>
      </c>
      <c r="M105" s="35" t="s">
        <v>29</v>
      </c>
      <c r="N105" s="34" t="s">
        <v>4884</v>
      </c>
      <c r="O105" s="35" t="s">
        <v>164</v>
      </c>
      <c r="P105" s="35" t="s">
        <v>2436</v>
      </c>
    </row>
    <row r="106" spans="1:17" ht="13.2" customHeight="1" x14ac:dyDescent="0.25">
      <c r="A106" s="33">
        <v>104</v>
      </c>
      <c r="B106" s="34" t="s">
        <v>4885</v>
      </c>
      <c r="C106" s="35"/>
      <c r="D106" s="34" t="s">
        <v>4886</v>
      </c>
      <c r="E106" s="34" t="s">
        <v>4887</v>
      </c>
      <c r="F106" s="34" t="s">
        <v>4888</v>
      </c>
      <c r="G106" s="34" t="s">
        <v>4889</v>
      </c>
      <c r="H106" s="34" t="s">
        <v>4890</v>
      </c>
      <c r="I106" s="33" t="s">
        <v>84</v>
      </c>
      <c r="J106" s="34" t="s">
        <v>4891</v>
      </c>
      <c r="K106" s="35"/>
      <c r="L106" s="34" t="s">
        <v>4181</v>
      </c>
      <c r="M106" s="35" t="s">
        <v>29</v>
      </c>
      <c r="N106" s="34" t="s">
        <v>4892</v>
      </c>
      <c r="O106" s="35" t="s">
        <v>164</v>
      </c>
      <c r="P106" s="35" t="s">
        <v>2436</v>
      </c>
    </row>
    <row r="107" spans="1:17" ht="13.2" customHeight="1" x14ac:dyDescent="0.25">
      <c r="A107" s="33">
        <v>105</v>
      </c>
      <c r="B107" s="34" t="s">
        <v>4893</v>
      </c>
      <c r="C107" s="35"/>
      <c r="D107" s="34" t="s">
        <v>2251</v>
      </c>
      <c r="E107" s="34" t="s">
        <v>107</v>
      </c>
      <c r="F107" s="34" t="s">
        <v>4413</v>
      </c>
      <c r="G107" s="34" t="s">
        <v>106</v>
      </c>
      <c r="H107" s="34" t="s">
        <v>109</v>
      </c>
      <c r="I107" s="33" t="s">
        <v>84</v>
      </c>
      <c r="J107" s="34" t="s">
        <v>4894</v>
      </c>
      <c r="K107" s="35"/>
      <c r="L107" s="34" t="s">
        <v>4181</v>
      </c>
      <c r="M107" s="35" t="s">
        <v>29</v>
      </c>
      <c r="N107" s="34" t="s">
        <v>4895</v>
      </c>
      <c r="O107" s="35" t="s">
        <v>164</v>
      </c>
      <c r="P107" s="35" t="s">
        <v>2514</v>
      </c>
    </row>
    <row r="108" spans="1:17" ht="13.2" customHeight="1" x14ac:dyDescent="0.25">
      <c r="A108" s="33">
        <v>106</v>
      </c>
      <c r="B108" s="34" t="s">
        <v>4896</v>
      </c>
      <c r="C108" s="35"/>
      <c r="D108" s="34" t="s">
        <v>4897</v>
      </c>
      <c r="E108" s="34" t="s">
        <v>2230</v>
      </c>
      <c r="F108" s="34" t="s">
        <v>4898</v>
      </c>
      <c r="G108" s="34" t="s">
        <v>4899</v>
      </c>
      <c r="H108" s="34" t="s">
        <v>4900</v>
      </c>
      <c r="I108" s="33" t="s">
        <v>84</v>
      </c>
      <c r="J108" s="34" t="s">
        <v>4901</v>
      </c>
      <c r="K108" s="35"/>
      <c r="L108" s="34" t="s">
        <v>4181</v>
      </c>
      <c r="M108" s="35" t="s">
        <v>29</v>
      </c>
      <c r="N108" s="34" t="s">
        <v>4902</v>
      </c>
      <c r="O108" s="35" t="s">
        <v>164</v>
      </c>
      <c r="P108" s="35" t="s">
        <v>2514</v>
      </c>
    </row>
    <row r="109" spans="1:17" ht="13.2" customHeight="1" x14ac:dyDescent="0.25">
      <c r="A109" s="33">
        <v>107</v>
      </c>
      <c r="B109" s="34" t="s">
        <v>4903</v>
      </c>
      <c r="C109" s="35"/>
      <c r="D109" s="34" t="s">
        <v>4904</v>
      </c>
      <c r="E109" s="34" t="s">
        <v>4905</v>
      </c>
      <c r="F109" s="34" t="s">
        <v>4906</v>
      </c>
      <c r="G109" s="34" t="s">
        <v>4177</v>
      </c>
      <c r="H109" s="34" t="s">
        <v>4806</v>
      </c>
      <c r="I109" s="33" t="s">
        <v>84</v>
      </c>
      <c r="J109" s="34" t="s">
        <v>4907</v>
      </c>
      <c r="K109" s="35"/>
      <c r="L109" s="34" t="s">
        <v>4181</v>
      </c>
      <c r="M109" s="35" t="s">
        <v>29</v>
      </c>
      <c r="N109" s="34" t="s">
        <v>4908</v>
      </c>
      <c r="O109" s="35" t="s">
        <v>164</v>
      </c>
      <c r="P109" s="35" t="s">
        <v>2514</v>
      </c>
    </row>
    <row r="110" spans="1:17" ht="13.2" customHeight="1" x14ac:dyDescent="0.25">
      <c r="A110" s="33">
        <v>108</v>
      </c>
      <c r="B110" s="34" t="s">
        <v>4909</v>
      </c>
      <c r="C110" s="35"/>
      <c r="D110" s="34" t="s">
        <v>4910</v>
      </c>
      <c r="E110" s="34" t="s">
        <v>4911</v>
      </c>
      <c r="F110" s="34" t="s">
        <v>4912</v>
      </c>
      <c r="G110" s="34" t="s">
        <v>4913</v>
      </c>
      <c r="H110" s="34" t="s">
        <v>4914</v>
      </c>
      <c r="I110" s="33" t="s">
        <v>84</v>
      </c>
      <c r="J110" s="34" t="s">
        <v>4915</v>
      </c>
      <c r="K110" s="35"/>
      <c r="L110" s="34" t="s">
        <v>4181</v>
      </c>
      <c r="M110" s="35" t="s">
        <v>29</v>
      </c>
      <c r="N110" s="34" t="s">
        <v>4916</v>
      </c>
      <c r="O110" s="35" t="s">
        <v>164</v>
      </c>
      <c r="P110" s="35" t="s">
        <v>2514</v>
      </c>
    </row>
    <row r="111" spans="1:17" ht="13.2" customHeight="1" x14ac:dyDescent="0.25">
      <c r="A111" s="33">
        <v>109</v>
      </c>
      <c r="B111" s="34" t="s">
        <v>4917</v>
      </c>
      <c r="C111" s="35"/>
      <c r="D111" s="34" t="s">
        <v>4918</v>
      </c>
      <c r="E111" s="34" t="s">
        <v>4919</v>
      </c>
      <c r="F111" s="34" t="s">
        <v>4920</v>
      </c>
      <c r="G111" s="34" t="s">
        <v>4921</v>
      </c>
      <c r="H111" s="34" t="s">
        <v>4922</v>
      </c>
      <c r="I111" s="33" t="s">
        <v>84</v>
      </c>
      <c r="J111" s="34" t="s">
        <v>4923</v>
      </c>
      <c r="K111" s="35"/>
      <c r="L111" s="34" t="s">
        <v>4181</v>
      </c>
      <c r="M111" s="35" t="s">
        <v>29</v>
      </c>
      <c r="N111" s="34" t="s">
        <v>4924</v>
      </c>
      <c r="O111" s="35" t="s">
        <v>164</v>
      </c>
      <c r="P111" s="35" t="s">
        <v>2514</v>
      </c>
    </row>
    <row r="112" spans="1:17" ht="13.2" customHeight="1" x14ac:dyDescent="0.25">
      <c r="A112" s="33">
        <v>110</v>
      </c>
      <c r="B112" s="34" t="s">
        <v>4925</v>
      </c>
      <c r="C112" s="35"/>
      <c r="D112" s="34" t="s">
        <v>4926</v>
      </c>
      <c r="E112" s="34" t="s">
        <v>4395</v>
      </c>
      <c r="F112" s="34" t="s">
        <v>4927</v>
      </c>
      <c r="G112" s="34" t="s">
        <v>4928</v>
      </c>
      <c r="H112" s="34" t="s">
        <v>4397</v>
      </c>
      <c r="I112" s="33" t="s">
        <v>84</v>
      </c>
      <c r="J112" s="34" t="s">
        <v>4929</v>
      </c>
      <c r="K112" s="35"/>
      <c r="L112" s="34" t="s">
        <v>4181</v>
      </c>
      <c r="M112" s="35" t="s">
        <v>29</v>
      </c>
      <c r="N112" s="34" t="s">
        <v>4930</v>
      </c>
      <c r="O112" s="35" t="s">
        <v>816</v>
      </c>
      <c r="P112" s="35" t="s">
        <v>2629</v>
      </c>
    </row>
    <row r="113" spans="1:16" ht="13.2" customHeight="1" x14ac:dyDescent="0.25">
      <c r="A113" s="33">
        <v>111</v>
      </c>
      <c r="B113" s="34" t="s">
        <v>4931</v>
      </c>
      <c r="C113" s="35"/>
      <c r="D113" s="34" t="s">
        <v>4932</v>
      </c>
      <c r="E113" s="34" t="s">
        <v>4933</v>
      </c>
      <c r="F113" s="34" t="s">
        <v>4934</v>
      </c>
      <c r="G113" s="34" t="s">
        <v>4935</v>
      </c>
      <c r="H113" s="34" t="s">
        <v>4936</v>
      </c>
      <c r="I113" s="33" t="s">
        <v>84</v>
      </c>
      <c r="J113" s="34" t="s">
        <v>4937</v>
      </c>
      <c r="K113" s="35"/>
      <c r="L113" s="34" t="s">
        <v>4181</v>
      </c>
      <c r="M113" s="35" t="s">
        <v>29</v>
      </c>
      <c r="N113" s="34" t="s">
        <v>4938</v>
      </c>
      <c r="O113" s="35" t="s">
        <v>816</v>
      </c>
      <c r="P113" s="35" t="s">
        <v>2629</v>
      </c>
    </row>
    <row r="114" spans="1:16" ht="13.2" customHeight="1" x14ac:dyDescent="0.25">
      <c r="A114" s="33">
        <v>112</v>
      </c>
      <c r="B114" s="34" t="s">
        <v>4939</v>
      </c>
      <c r="C114" s="35"/>
      <c r="D114" s="34" t="s">
        <v>4940</v>
      </c>
      <c r="E114" s="34" t="s">
        <v>4941</v>
      </c>
      <c r="F114" s="34" t="s">
        <v>4942</v>
      </c>
      <c r="G114" s="34" t="s">
        <v>4943</v>
      </c>
      <c r="H114" s="34" t="s">
        <v>4944</v>
      </c>
      <c r="I114" s="33" t="s">
        <v>84</v>
      </c>
      <c r="J114" s="34" t="s">
        <v>4945</v>
      </c>
      <c r="K114" s="35"/>
      <c r="L114" s="34" t="s">
        <v>4181</v>
      </c>
      <c r="M114" s="35" t="s">
        <v>29</v>
      </c>
      <c r="N114" s="34" t="s">
        <v>4946</v>
      </c>
      <c r="O114" s="35" t="s">
        <v>816</v>
      </c>
      <c r="P114" s="35" t="s">
        <v>2629</v>
      </c>
    </row>
    <row r="115" spans="1:16" ht="13.2" customHeight="1" x14ac:dyDescent="0.25">
      <c r="A115" s="33">
        <v>113</v>
      </c>
      <c r="B115" s="34" t="s">
        <v>4947</v>
      </c>
      <c r="C115" s="35"/>
      <c r="D115" s="34" t="s">
        <v>2239</v>
      </c>
      <c r="E115" s="34" t="s">
        <v>107</v>
      </c>
      <c r="F115" s="34" t="s">
        <v>4413</v>
      </c>
      <c r="G115" s="34" t="s">
        <v>108</v>
      </c>
      <c r="H115" s="34" t="s">
        <v>109</v>
      </c>
      <c r="I115" s="33" t="s">
        <v>84</v>
      </c>
      <c r="J115" s="34" t="s">
        <v>4948</v>
      </c>
      <c r="K115" s="35"/>
      <c r="L115" s="34" t="s">
        <v>4181</v>
      </c>
      <c r="M115" s="35" t="s">
        <v>29</v>
      </c>
      <c r="N115" s="34" t="s">
        <v>4949</v>
      </c>
      <c r="O115" s="35" t="s">
        <v>816</v>
      </c>
      <c r="P115" s="35" t="s">
        <v>2629</v>
      </c>
    </row>
    <row r="116" spans="1:16" ht="13.2" customHeight="1" x14ac:dyDescent="0.25">
      <c r="A116" s="33">
        <v>114</v>
      </c>
      <c r="B116" s="34" t="s">
        <v>4950</v>
      </c>
      <c r="C116" s="35"/>
      <c r="D116" s="34" t="s">
        <v>4951</v>
      </c>
      <c r="E116" s="34" t="s">
        <v>4952</v>
      </c>
      <c r="F116" s="34" t="s">
        <v>4953</v>
      </c>
      <c r="G116" s="34" t="s">
        <v>4954</v>
      </c>
      <c r="H116" s="34" t="s">
        <v>4955</v>
      </c>
      <c r="I116" s="33" t="s">
        <v>84</v>
      </c>
      <c r="J116" s="34" t="s">
        <v>4956</v>
      </c>
      <c r="K116" s="35"/>
      <c r="L116" s="34" t="s">
        <v>4181</v>
      </c>
      <c r="M116" s="35" t="s">
        <v>29</v>
      </c>
      <c r="N116" s="34" t="s">
        <v>4957</v>
      </c>
      <c r="O116" s="35" t="s">
        <v>816</v>
      </c>
      <c r="P116" s="35" t="s">
        <v>2629</v>
      </c>
    </row>
    <row r="117" spans="1:16" ht="13.2" customHeight="1" x14ac:dyDescent="0.25">
      <c r="A117" s="33">
        <v>115</v>
      </c>
      <c r="B117" s="34" t="s">
        <v>4958</v>
      </c>
      <c r="C117" s="35"/>
      <c r="D117" s="34" t="s">
        <v>4959</v>
      </c>
      <c r="E117" s="34" t="s">
        <v>4960</v>
      </c>
      <c r="F117" s="34" t="s">
        <v>4961</v>
      </c>
      <c r="G117" s="34" t="s">
        <v>4962</v>
      </c>
      <c r="H117" s="34" t="s">
        <v>781</v>
      </c>
      <c r="I117" s="33" t="s">
        <v>84</v>
      </c>
      <c r="J117" s="34" t="s">
        <v>4963</v>
      </c>
      <c r="K117" s="35"/>
      <c r="L117" s="34" t="s">
        <v>4181</v>
      </c>
      <c r="M117" s="35" t="s">
        <v>29</v>
      </c>
      <c r="N117" s="34" t="s">
        <v>4964</v>
      </c>
      <c r="O117" s="35" t="s">
        <v>816</v>
      </c>
      <c r="P117" s="35" t="s">
        <v>2629</v>
      </c>
    </row>
    <row r="118" spans="1:16" ht="13.2" customHeight="1" x14ac:dyDescent="0.25">
      <c r="A118" s="33">
        <v>116</v>
      </c>
      <c r="B118" s="34" t="s">
        <v>4965</v>
      </c>
      <c r="C118" s="35"/>
      <c r="D118" s="34" t="s">
        <v>4706</v>
      </c>
      <c r="E118" s="34" t="s">
        <v>4707</v>
      </c>
      <c r="F118" s="34" t="s">
        <v>4177</v>
      </c>
      <c r="G118" s="34" t="s">
        <v>4806</v>
      </c>
      <c r="H118" s="34" t="s">
        <v>4807</v>
      </c>
      <c r="I118" s="33" t="s">
        <v>84</v>
      </c>
      <c r="J118" s="34" t="s">
        <v>4966</v>
      </c>
      <c r="K118" s="35"/>
      <c r="L118" s="34" t="s">
        <v>4181</v>
      </c>
      <c r="M118" s="35" t="s">
        <v>29</v>
      </c>
      <c r="N118" s="34" t="s">
        <v>4967</v>
      </c>
      <c r="O118" s="35" t="s">
        <v>164</v>
      </c>
      <c r="P118" s="35" t="s">
        <v>3561</v>
      </c>
    </row>
    <row r="119" spans="1:16" ht="13.2" customHeight="1" x14ac:dyDescent="0.25">
      <c r="A119" s="33">
        <v>117</v>
      </c>
      <c r="B119" s="34" t="s">
        <v>4968</v>
      </c>
      <c r="C119" s="35"/>
      <c r="D119" s="34" t="s">
        <v>4806</v>
      </c>
      <c r="E119" s="34" t="s">
        <v>4807</v>
      </c>
      <c r="F119" s="34" t="s">
        <v>4532</v>
      </c>
      <c r="G119" s="34" t="s">
        <v>4812</v>
      </c>
      <c r="H119" s="34" t="s">
        <v>4176</v>
      </c>
      <c r="I119" s="33" t="s">
        <v>84</v>
      </c>
      <c r="J119" s="34" t="s">
        <v>4969</v>
      </c>
      <c r="K119" s="35"/>
      <c r="L119" s="34" t="s">
        <v>4181</v>
      </c>
      <c r="M119" s="35" t="s">
        <v>29</v>
      </c>
      <c r="N119" s="34" t="s">
        <v>4970</v>
      </c>
      <c r="O119" s="35" t="s">
        <v>164</v>
      </c>
      <c r="P119" s="35" t="s">
        <v>3561</v>
      </c>
    </row>
    <row r="120" spans="1:16" ht="13.2" customHeight="1" x14ac:dyDescent="0.25">
      <c r="A120" s="33">
        <v>118</v>
      </c>
      <c r="B120" s="34" t="s">
        <v>4971</v>
      </c>
      <c r="C120" s="35"/>
      <c r="D120" s="34" t="s">
        <v>4812</v>
      </c>
      <c r="E120" s="34" t="s">
        <v>4176</v>
      </c>
      <c r="F120" s="34" t="s">
        <v>4175</v>
      </c>
      <c r="G120" s="34" t="s">
        <v>2274</v>
      </c>
      <c r="H120" s="34" t="s">
        <v>4178</v>
      </c>
      <c r="I120" s="33" t="s">
        <v>84</v>
      </c>
      <c r="J120" s="34" t="s">
        <v>4972</v>
      </c>
      <c r="K120" s="35"/>
      <c r="L120" s="34" t="s">
        <v>4181</v>
      </c>
      <c r="M120" s="35" t="s">
        <v>29</v>
      </c>
      <c r="N120" s="34" t="s">
        <v>4973</v>
      </c>
      <c r="O120" s="35" t="s">
        <v>164</v>
      </c>
      <c r="P120" s="35" t="s">
        <v>3561</v>
      </c>
    </row>
    <row r="121" spans="1:16" ht="13.2" customHeight="1" x14ac:dyDescent="0.25">
      <c r="A121" s="33">
        <v>119</v>
      </c>
      <c r="B121" s="34" t="s">
        <v>4974</v>
      </c>
      <c r="C121" s="35"/>
      <c r="D121" s="34" t="s">
        <v>2274</v>
      </c>
      <c r="E121" s="34" t="s">
        <v>4178</v>
      </c>
      <c r="F121" s="34" t="s">
        <v>4800</v>
      </c>
      <c r="G121" s="34" t="s">
        <v>4705</v>
      </c>
      <c r="H121" s="34" t="s">
        <v>4706</v>
      </c>
      <c r="I121" s="33" t="s">
        <v>84</v>
      </c>
      <c r="J121" s="34" t="s">
        <v>4975</v>
      </c>
      <c r="K121" s="35"/>
      <c r="L121" s="34" t="s">
        <v>4181</v>
      </c>
      <c r="M121" s="35" t="s">
        <v>29</v>
      </c>
      <c r="N121" s="34" t="s">
        <v>4976</v>
      </c>
      <c r="O121" s="35" t="s">
        <v>164</v>
      </c>
      <c r="P121" s="35" t="s">
        <v>3561</v>
      </c>
    </row>
    <row r="122" spans="1:16" ht="13.2" customHeight="1" x14ac:dyDescent="0.25">
      <c r="A122" s="33">
        <v>120</v>
      </c>
      <c r="B122" s="34" t="s">
        <v>4977</v>
      </c>
      <c r="C122" s="35"/>
      <c r="D122" s="34" t="s">
        <v>4705</v>
      </c>
      <c r="E122" s="34" t="s">
        <v>4706</v>
      </c>
      <c r="F122" s="34" t="s">
        <v>4707</v>
      </c>
      <c r="G122" s="34" t="s">
        <v>4177</v>
      </c>
      <c r="H122" s="34" t="s">
        <v>4806</v>
      </c>
      <c r="I122" s="33" t="s">
        <v>84</v>
      </c>
      <c r="J122" s="34" t="s">
        <v>4978</v>
      </c>
      <c r="K122" s="35"/>
      <c r="L122" s="34" t="s">
        <v>4181</v>
      </c>
      <c r="M122" s="35" t="s">
        <v>29</v>
      </c>
      <c r="N122" s="34" t="s">
        <v>4979</v>
      </c>
      <c r="O122" s="35" t="s">
        <v>164</v>
      </c>
      <c r="P122" s="35" t="s">
        <v>3561</v>
      </c>
    </row>
    <row r="123" spans="1:16" ht="13.2" customHeight="1" x14ac:dyDescent="0.25">
      <c r="A123" s="33">
        <v>121</v>
      </c>
      <c r="B123" s="34" t="s">
        <v>4980</v>
      </c>
      <c r="C123" s="35"/>
      <c r="D123" s="34" t="s">
        <v>4981</v>
      </c>
      <c r="E123" s="34" t="s">
        <v>4806</v>
      </c>
      <c r="F123" s="34" t="s">
        <v>4807</v>
      </c>
      <c r="G123" s="34" t="s">
        <v>4532</v>
      </c>
      <c r="H123" s="34" t="s">
        <v>4812</v>
      </c>
      <c r="I123" s="33" t="s">
        <v>84</v>
      </c>
      <c r="J123" s="34" t="s">
        <v>4982</v>
      </c>
      <c r="K123" s="35"/>
      <c r="L123" s="34" t="s">
        <v>4181</v>
      </c>
      <c r="M123" s="35" t="s">
        <v>29</v>
      </c>
      <c r="N123" s="34" t="s">
        <v>4983</v>
      </c>
      <c r="O123" s="35" t="s">
        <v>164</v>
      </c>
      <c r="P123" s="35" t="s">
        <v>2705</v>
      </c>
    </row>
    <row r="124" spans="1:16" ht="13.2" customHeight="1" x14ac:dyDescent="0.25">
      <c r="A124" s="33">
        <v>122</v>
      </c>
      <c r="B124" s="34" t="s">
        <v>4984</v>
      </c>
      <c r="C124" s="35"/>
      <c r="D124" s="34" t="s">
        <v>4532</v>
      </c>
      <c r="E124" s="34" t="s">
        <v>4812</v>
      </c>
      <c r="F124" s="34" t="s">
        <v>4176</v>
      </c>
      <c r="G124" s="34" t="s">
        <v>4175</v>
      </c>
      <c r="H124" s="34" t="s">
        <v>2274</v>
      </c>
      <c r="I124" s="33" t="s">
        <v>84</v>
      </c>
      <c r="J124" s="34" t="s">
        <v>4985</v>
      </c>
      <c r="K124" s="35"/>
      <c r="L124" s="34" t="s">
        <v>4181</v>
      </c>
      <c r="M124" s="35" t="s">
        <v>29</v>
      </c>
      <c r="N124" s="34" t="s">
        <v>4986</v>
      </c>
      <c r="O124" s="35" t="s">
        <v>164</v>
      </c>
      <c r="P124" s="35" t="s">
        <v>2705</v>
      </c>
    </row>
    <row r="125" spans="1:16" ht="13.2" customHeight="1" x14ac:dyDescent="0.25">
      <c r="A125" s="33">
        <v>123</v>
      </c>
      <c r="B125" s="34" t="s">
        <v>4987</v>
      </c>
      <c r="C125" s="35"/>
      <c r="D125" s="34" t="s">
        <v>4175</v>
      </c>
      <c r="E125" s="34" t="s">
        <v>2274</v>
      </c>
      <c r="F125" s="34" t="s">
        <v>4178</v>
      </c>
      <c r="G125" s="34" t="s">
        <v>4800</v>
      </c>
      <c r="H125" s="34" t="s">
        <v>4705</v>
      </c>
      <c r="I125" s="33" t="s">
        <v>84</v>
      </c>
      <c r="J125" s="34" t="s">
        <v>4988</v>
      </c>
      <c r="K125" s="35"/>
      <c r="L125" s="34" t="s">
        <v>4181</v>
      </c>
      <c r="M125" s="35" t="s">
        <v>29</v>
      </c>
      <c r="N125" s="34" t="s">
        <v>4989</v>
      </c>
      <c r="O125" s="35" t="s">
        <v>164</v>
      </c>
      <c r="P125" s="35" t="s">
        <v>2705</v>
      </c>
    </row>
    <row r="126" spans="1:16" ht="13.2" customHeight="1" x14ac:dyDescent="0.25">
      <c r="A126" s="33">
        <v>124</v>
      </c>
      <c r="B126" s="34" t="s">
        <v>4990</v>
      </c>
      <c r="C126" s="35"/>
      <c r="D126" s="34" t="s">
        <v>4800</v>
      </c>
      <c r="E126" s="34" t="s">
        <v>4705</v>
      </c>
      <c r="F126" s="34" t="s">
        <v>4706</v>
      </c>
      <c r="G126" s="34" t="s">
        <v>4707</v>
      </c>
      <c r="H126" s="34" t="s">
        <v>4177</v>
      </c>
      <c r="I126" s="33" t="s">
        <v>84</v>
      </c>
      <c r="J126" s="34" t="s">
        <v>4991</v>
      </c>
      <c r="K126" s="35"/>
      <c r="L126" s="34" t="s">
        <v>4181</v>
      </c>
      <c r="M126" s="35" t="s">
        <v>29</v>
      </c>
      <c r="N126" s="34" t="s">
        <v>4992</v>
      </c>
      <c r="O126" s="35" t="s">
        <v>164</v>
      </c>
      <c r="P126" s="35" t="s">
        <v>2705</v>
      </c>
    </row>
    <row r="127" spans="1:16" ht="13.2" customHeight="1" x14ac:dyDescent="0.25">
      <c r="A127" s="33">
        <v>125</v>
      </c>
      <c r="B127" s="34" t="s">
        <v>4993</v>
      </c>
      <c r="C127" s="35"/>
      <c r="D127" s="34" t="s">
        <v>4707</v>
      </c>
      <c r="E127" s="34" t="s">
        <v>4177</v>
      </c>
      <c r="F127" s="34" t="s">
        <v>4806</v>
      </c>
      <c r="G127" s="34" t="s">
        <v>4807</v>
      </c>
      <c r="H127" s="34" t="s">
        <v>4532</v>
      </c>
      <c r="I127" s="33" t="s">
        <v>84</v>
      </c>
      <c r="J127" s="34" t="s">
        <v>4994</v>
      </c>
      <c r="K127" s="35"/>
      <c r="L127" s="34" t="s">
        <v>4181</v>
      </c>
      <c r="M127" s="35" t="s">
        <v>29</v>
      </c>
      <c r="N127" s="34" t="s">
        <v>3595</v>
      </c>
      <c r="O127" s="35" t="s">
        <v>164</v>
      </c>
      <c r="P127" s="35" t="s">
        <v>2706</v>
      </c>
    </row>
    <row r="128" spans="1:16" ht="13.2" customHeight="1" x14ac:dyDescent="0.25">
      <c r="A128" s="33">
        <v>126</v>
      </c>
      <c r="B128" s="34" t="s">
        <v>4995</v>
      </c>
      <c r="C128" s="35"/>
      <c r="D128" s="34" t="s">
        <v>4996</v>
      </c>
      <c r="E128" s="34" t="s">
        <v>4532</v>
      </c>
      <c r="F128" s="34" t="s">
        <v>4812</v>
      </c>
      <c r="G128" s="34" t="s">
        <v>4176</v>
      </c>
      <c r="H128" s="34" t="s">
        <v>4175</v>
      </c>
      <c r="I128" s="33" t="s">
        <v>84</v>
      </c>
      <c r="J128" s="34" t="s">
        <v>4997</v>
      </c>
      <c r="K128" s="35"/>
      <c r="L128" s="34" t="s">
        <v>4181</v>
      </c>
      <c r="M128" s="35" t="s">
        <v>29</v>
      </c>
      <c r="N128" s="34" t="s">
        <v>3642</v>
      </c>
      <c r="O128" s="35" t="s">
        <v>164</v>
      </c>
      <c r="P128" s="35" t="s">
        <v>2707</v>
      </c>
    </row>
    <row r="129" spans="1:16" ht="13.2" customHeight="1" x14ac:dyDescent="0.25">
      <c r="A129" s="33">
        <v>127</v>
      </c>
      <c r="B129" s="34" t="s">
        <v>4998</v>
      </c>
      <c r="C129" s="35"/>
      <c r="D129" s="34" t="s">
        <v>4999</v>
      </c>
      <c r="E129" s="34" t="s">
        <v>4175</v>
      </c>
      <c r="F129" s="34" t="s">
        <v>2274</v>
      </c>
      <c r="G129" s="34" t="s">
        <v>4178</v>
      </c>
      <c r="H129" s="34" t="s">
        <v>4800</v>
      </c>
      <c r="I129" s="33" t="s">
        <v>84</v>
      </c>
      <c r="J129" s="34" t="s">
        <v>5000</v>
      </c>
      <c r="K129" s="35"/>
      <c r="L129" s="34" t="s">
        <v>4181</v>
      </c>
      <c r="M129" s="35" t="s">
        <v>29</v>
      </c>
      <c r="N129" s="34" t="s">
        <v>3650</v>
      </c>
      <c r="O129" s="35" t="s">
        <v>164</v>
      </c>
      <c r="P129" s="35" t="s">
        <v>2707</v>
      </c>
    </row>
    <row r="130" spans="1:16" ht="13.2" customHeight="1" x14ac:dyDescent="0.25">
      <c r="A130" s="33">
        <v>128</v>
      </c>
      <c r="B130" s="34" t="s">
        <v>5001</v>
      </c>
      <c r="C130" s="35"/>
      <c r="D130" s="34" t="s">
        <v>5002</v>
      </c>
      <c r="E130" s="34" t="s">
        <v>5003</v>
      </c>
      <c r="F130" s="34" t="s">
        <v>5004</v>
      </c>
      <c r="G130" s="34" t="s">
        <v>5005</v>
      </c>
      <c r="H130" s="34" t="s">
        <v>5006</v>
      </c>
      <c r="I130" s="33" t="s">
        <v>90</v>
      </c>
      <c r="J130" s="34" t="s">
        <v>5007</v>
      </c>
      <c r="K130" s="35"/>
      <c r="L130" s="34" t="s">
        <v>4181</v>
      </c>
      <c r="M130" s="35" t="s">
        <v>29</v>
      </c>
      <c r="N130" s="34" t="s">
        <v>3642</v>
      </c>
      <c r="O130" s="35" t="s">
        <v>164</v>
      </c>
      <c r="P130" s="35" t="s">
        <v>2707</v>
      </c>
    </row>
    <row r="131" spans="1:16" ht="13.2" customHeight="1" x14ac:dyDescent="0.25">
      <c r="A131" s="33">
        <v>129</v>
      </c>
      <c r="B131" s="34" t="s">
        <v>5008</v>
      </c>
      <c r="C131" s="35"/>
      <c r="D131" s="34" t="s">
        <v>4706</v>
      </c>
      <c r="E131" s="34" t="s">
        <v>4707</v>
      </c>
      <c r="F131" s="34" t="s">
        <v>4177</v>
      </c>
      <c r="G131" s="34" t="s">
        <v>4806</v>
      </c>
      <c r="H131" s="34" t="s">
        <v>4807</v>
      </c>
      <c r="I131" s="33" t="s">
        <v>84</v>
      </c>
      <c r="J131" s="34" t="s">
        <v>5009</v>
      </c>
      <c r="K131" s="35"/>
      <c r="L131" s="34" t="s">
        <v>4181</v>
      </c>
      <c r="M131" s="35" t="s">
        <v>29</v>
      </c>
      <c r="N131" s="34" t="s">
        <v>3606</v>
      </c>
      <c r="O131" s="35" t="s">
        <v>164</v>
      </c>
      <c r="P131" s="35" t="s">
        <v>2707</v>
      </c>
    </row>
    <row r="132" spans="1:16" ht="13.2" customHeight="1" x14ac:dyDescent="0.25">
      <c r="A132" s="33">
        <v>130</v>
      </c>
      <c r="B132" s="34" t="s">
        <v>5010</v>
      </c>
      <c r="C132" s="35"/>
      <c r="D132" s="34" t="s">
        <v>4806</v>
      </c>
      <c r="E132" s="34" t="s">
        <v>4807</v>
      </c>
      <c r="F132" s="34" t="s">
        <v>4532</v>
      </c>
      <c r="G132" s="34" t="s">
        <v>4812</v>
      </c>
      <c r="H132" s="34" t="s">
        <v>4176</v>
      </c>
      <c r="I132" s="33" t="s">
        <v>84</v>
      </c>
      <c r="J132" s="34" t="s">
        <v>5011</v>
      </c>
      <c r="K132" s="35"/>
      <c r="L132" s="34" t="s">
        <v>4181</v>
      </c>
      <c r="M132" s="35" t="s">
        <v>29</v>
      </c>
      <c r="N132" s="34" t="s">
        <v>2590</v>
      </c>
      <c r="O132" s="35" t="s">
        <v>816</v>
      </c>
      <c r="P132" s="35" t="s">
        <v>2710</v>
      </c>
    </row>
    <row r="133" spans="1:16" ht="13.2" customHeight="1" x14ac:dyDescent="0.25">
      <c r="A133" s="33">
        <v>131</v>
      </c>
      <c r="B133" s="34" t="s">
        <v>5012</v>
      </c>
      <c r="C133" s="35"/>
      <c r="D133" s="34" t="s">
        <v>5013</v>
      </c>
      <c r="E133" s="34" t="s">
        <v>4615</v>
      </c>
      <c r="F133" s="34" t="s">
        <v>5014</v>
      </c>
      <c r="G133" s="34" t="s">
        <v>5015</v>
      </c>
      <c r="H133" s="34" t="s">
        <v>5016</v>
      </c>
      <c r="I133" s="33" t="s">
        <v>84</v>
      </c>
      <c r="J133" s="34" t="s">
        <v>5017</v>
      </c>
      <c r="K133" s="35"/>
      <c r="L133" s="34" t="s">
        <v>4181</v>
      </c>
      <c r="M133" s="35" t="s">
        <v>29</v>
      </c>
      <c r="N133" s="34" t="s">
        <v>3789</v>
      </c>
      <c r="O133" s="35" t="s">
        <v>816</v>
      </c>
      <c r="P133" s="35" t="s">
        <v>2710</v>
      </c>
    </row>
    <row r="134" spans="1:16" ht="13.2" customHeight="1" x14ac:dyDescent="0.25">
      <c r="A134" s="33">
        <v>132</v>
      </c>
      <c r="B134" s="34" t="s">
        <v>5018</v>
      </c>
      <c r="C134" s="35"/>
      <c r="D134" s="34" t="s">
        <v>5019</v>
      </c>
      <c r="E134" s="34" t="s">
        <v>5020</v>
      </c>
      <c r="F134" s="34" t="s">
        <v>5021</v>
      </c>
      <c r="G134" s="34" t="s">
        <v>5022</v>
      </c>
      <c r="H134" s="34" t="s">
        <v>5023</v>
      </c>
      <c r="I134" s="33" t="s">
        <v>84</v>
      </c>
      <c r="J134" s="34" t="s">
        <v>5024</v>
      </c>
      <c r="K134" s="35"/>
      <c r="L134" s="34" t="s">
        <v>4181</v>
      </c>
      <c r="M134" s="35" t="s">
        <v>29</v>
      </c>
      <c r="N134" s="34" t="s">
        <v>1661</v>
      </c>
      <c r="O134" s="35" t="s">
        <v>816</v>
      </c>
      <c r="P134" s="35" t="s">
        <v>2710</v>
      </c>
    </row>
    <row r="135" spans="1:16" ht="13.2" customHeight="1" x14ac:dyDescent="0.25">
      <c r="A135" s="33">
        <v>133</v>
      </c>
      <c r="B135" s="34" t="s">
        <v>5025</v>
      </c>
      <c r="C135" s="35"/>
      <c r="D135" s="34" t="s">
        <v>1890</v>
      </c>
      <c r="E135" s="34" t="s">
        <v>5026</v>
      </c>
      <c r="F135" s="34" t="s">
        <v>5027</v>
      </c>
      <c r="G135" s="34" t="s">
        <v>5028</v>
      </c>
      <c r="H135" s="34" t="s">
        <v>4397</v>
      </c>
      <c r="I135" s="33" t="s">
        <v>84</v>
      </c>
      <c r="J135" s="34" t="s">
        <v>5029</v>
      </c>
      <c r="K135" s="35"/>
      <c r="L135" s="34" t="s">
        <v>4181</v>
      </c>
      <c r="M135" s="35" t="s">
        <v>29</v>
      </c>
      <c r="N135" s="34" t="s">
        <v>5030</v>
      </c>
      <c r="O135" s="35" t="s">
        <v>816</v>
      </c>
      <c r="P135" s="35" t="s">
        <v>2710</v>
      </c>
    </row>
    <row r="136" spans="1:16" ht="13.2" customHeight="1" x14ac:dyDescent="0.25">
      <c r="A136" s="33">
        <v>134</v>
      </c>
      <c r="B136" s="34" t="s">
        <v>5031</v>
      </c>
      <c r="C136" s="35"/>
      <c r="D136" s="34" t="s">
        <v>5032</v>
      </c>
      <c r="E136" s="34" t="s">
        <v>623</v>
      </c>
      <c r="F136" s="34" t="s">
        <v>5033</v>
      </c>
      <c r="G136" s="34" t="s">
        <v>1130</v>
      </c>
      <c r="H136" s="34" t="s">
        <v>2392</v>
      </c>
      <c r="I136" s="33" t="s">
        <v>84</v>
      </c>
      <c r="J136" s="34" t="s">
        <v>5034</v>
      </c>
      <c r="K136" s="35"/>
      <c r="L136" s="34" t="s">
        <v>4181</v>
      </c>
      <c r="M136" s="35" t="s">
        <v>29</v>
      </c>
      <c r="N136" s="34" t="s">
        <v>5035</v>
      </c>
      <c r="O136" s="35" t="s">
        <v>816</v>
      </c>
      <c r="P136" s="35" t="s">
        <v>2710</v>
      </c>
    </row>
    <row r="137" spans="1:16" ht="13.2" customHeight="1" x14ac:dyDescent="0.25">
      <c r="A137" s="33">
        <v>135</v>
      </c>
      <c r="B137" s="34" t="s">
        <v>5036</v>
      </c>
      <c r="C137" s="35"/>
      <c r="D137" s="34" t="s">
        <v>4617</v>
      </c>
      <c r="E137" s="34" t="s">
        <v>4615</v>
      </c>
      <c r="F137" s="34" t="s">
        <v>5037</v>
      </c>
      <c r="G137" s="34" t="s">
        <v>1694</v>
      </c>
      <c r="H137" s="34" t="s">
        <v>5038</v>
      </c>
      <c r="I137" s="33" t="s">
        <v>84</v>
      </c>
      <c r="J137" s="34" t="s">
        <v>5039</v>
      </c>
      <c r="K137" s="35"/>
      <c r="L137" s="34" t="s">
        <v>4181</v>
      </c>
      <c r="M137" s="35" t="s">
        <v>29</v>
      </c>
      <c r="N137" s="34" t="s">
        <v>3856</v>
      </c>
      <c r="O137" s="35" t="s">
        <v>816</v>
      </c>
      <c r="P137" s="35" t="s">
        <v>2710</v>
      </c>
    </row>
    <row r="138" spans="1:16" ht="13.2" customHeight="1" x14ac:dyDescent="0.25">
      <c r="A138" s="33">
        <v>136</v>
      </c>
      <c r="B138" s="34" t="s">
        <v>5040</v>
      </c>
      <c r="C138" s="35"/>
      <c r="D138" s="34" t="s">
        <v>4615</v>
      </c>
      <c r="E138" s="34" t="s">
        <v>4617</v>
      </c>
      <c r="F138" s="34" t="s">
        <v>5038</v>
      </c>
      <c r="G138" s="34" t="s">
        <v>5041</v>
      </c>
      <c r="H138" s="34" t="s">
        <v>5042</v>
      </c>
      <c r="I138" s="33">
        <v>2</v>
      </c>
      <c r="J138" s="34" t="s">
        <v>5043</v>
      </c>
      <c r="K138" s="35"/>
      <c r="L138" s="34" t="s">
        <v>4181</v>
      </c>
      <c r="M138" s="35" t="s">
        <v>29</v>
      </c>
      <c r="N138" s="34" t="s">
        <v>3811</v>
      </c>
      <c r="O138" s="35" t="s">
        <v>816</v>
      </c>
      <c r="P138" s="35" t="s">
        <v>2710</v>
      </c>
    </row>
    <row r="139" spans="1:16" ht="13.2" customHeight="1" x14ac:dyDescent="0.25">
      <c r="A139" s="33">
        <v>137</v>
      </c>
      <c r="B139" s="34" t="s">
        <v>5044</v>
      </c>
      <c r="C139" s="35"/>
      <c r="D139" s="34" t="s">
        <v>4800</v>
      </c>
      <c r="E139" s="34" t="s">
        <v>4705</v>
      </c>
      <c r="F139" s="34" t="s">
        <v>4706</v>
      </c>
      <c r="G139" s="34" t="s">
        <v>4707</v>
      </c>
      <c r="H139" s="34" t="s">
        <v>4177</v>
      </c>
      <c r="I139" s="33" t="s">
        <v>84</v>
      </c>
      <c r="J139" s="34" t="s">
        <v>4991</v>
      </c>
      <c r="K139" s="35"/>
      <c r="L139" s="34" t="s">
        <v>4181</v>
      </c>
      <c r="M139" s="35" t="s">
        <v>29</v>
      </c>
      <c r="N139" s="34" t="s">
        <v>2537</v>
      </c>
      <c r="O139" s="35" t="s">
        <v>816</v>
      </c>
      <c r="P139" s="35" t="s">
        <v>2710</v>
      </c>
    </row>
    <row r="140" spans="1:16" ht="13.2" customHeight="1" x14ac:dyDescent="0.25">
      <c r="A140" s="33">
        <v>138</v>
      </c>
      <c r="B140" s="34" t="s">
        <v>5045</v>
      </c>
      <c r="C140" s="35"/>
      <c r="D140" s="34" t="s">
        <v>4707</v>
      </c>
      <c r="E140" s="34" t="s">
        <v>4177</v>
      </c>
      <c r="F140" s="34" t="s">
        <v>4806</v>
      </c>
      <c r="G140" s="34" t="s">
        <v>4807</v>
      </c>
      <c r="H140" s="34" t="s">
        <v>4532</v>
      </c>
      <c r="I140" s="33" t="s">
        <v>84</v>
      </c>
      <c r="J140" s="34" t="s">
        <v>5046</v>
      </c>
      <c r="K140" s="35"/>
      <c r="L140" s="34" t="s">
        <v>4181</v>
      </c>
      <c r="M140" s="35" t="s">
        <v>29</v>
      </c>
      <c r="N140" s="34" t="s">
        <v>5047</v>
      </c>
      <c r="O140" s="35" t="s">
        <v>816</v>
      </c>
      <c r="P140" s="35" t="s">
        <v>2710</v>
      </c>
    </row>
    <row r="141" spans="1:16" ht="13.2" customHeight="1" x14ac:dyDescent="0.25">
      <c r="A141" s="33">
        <v>139</v>
      </c>
      <c r="B141" s="34" t="s">
        <v>5048</v>
      </c>
      <c r="C141" s="35"/>
      <c r="D141" s="34" t="s">
        <v>5049</v>
      </c>
      <c r="E141" s="34" t="s">
        <v>5050</v>
      </c>
      <c r="F141" s="34" t="s">
        <v>5051</v>
      </c>
      <c r="G141" s="34" t="s">
        <v>4176</v>
      </c>
      <c r="H141" s="34" t="s">
        <v>4175</v>
      </c>
      <c r="I141" s="33" t="s">
        <v>84</v>
      </c>
      <c r="J141" s="34" t="s">
        <v>5052</v>
      </c>
      <c r="K141" s="35"/>
      <c r="L141" s="34" t="s">
        <v>4181</v>
      </c>
      <c r="M141" s="35" t="s">
        <v>29</v>
      </c>
      <c r="N141" s="34" t="s">
        <v>3716</v>
      </c>
      <c r="O141" s="35" t="s">
        <v>816</v>
      </c>
      <c r="P141" s="35" t="s">
        <v>2710</v>
      </c>
    </row>
    <row r="142" spans="1:16" ht="13.2" customHeight="1" x14ac:dyDescent="0.25">
      <c r="A142" s="33">
        <v>140</v>
      </c>
      <c r="B142" s="34" t="s">
        <v>5053</v>
      </c>
      <c r="C142" s="35"/>
      <c r="D142" s="34" t="s">
        <v>4176</v>
      </c>
      <c r="E142" s="34" t="s">
        <v>4175</v>
      </c>
      <c r="F142" s="34" t="s">
        <v>2274</v>
      </c>
      <c r="G142" s="34" t="s">
        <v>4178</v>
      </c>
      <c r="H142" s="34" t="s">
        <v>4800</v>
      </c>
      <c r="I142" s="33" t="s">
        <v>84</v>
      </c>
      <c r="J142" s="34" t="s">
        <v>5054</v>
      </c>
      <c r="K142" s="35"/>
      <c r="L142" s="34" t="s">
        <v>4181</v>
      </c>
      <c r="M142" s="35" t="s">
        <v>29</v>
      </c>
      <c r="N142" s="34" t="s">
        <v>5030</v>
      </c>
      <c r="O142" s="35" t="s">
        <v>816</v>
      </c>
      <c r="P142" s="35" t="s">
        <v>2710</v>
      </c>
    </row>
    <row r="143" spans="1:16" ht="13.2" customHeight="1" x14ac:dyDescent="0.25">
      <c r="A143" s="33">
        <v>141</v>
      </c>
      <c r="B143" s="34" t="s">
        <v>5055</v>
      </c>
      <c r="C143" s="35"/>
      <c r="D143" s="34" t="s">
        <v>4178</v>
      </c>
      <c r="E143" s="34" t="s">
        <v>4800</v>
      </c>
      <c r="F143" s="34" t="s">
        <v>4705</v>
      </c>
      <c r="G143" s="34" t="s">
        <v>4706</v>
      </c>
      <c r="H143" s="34" t="s">
        <v>4707</v>
      </c>
      <c r="I143" s="33" t="s">
        <v>84</v>
      </c>
      <c r="J143" s="34" t="s">
        <v>5056</v>
      </c>
      <c r="K143" s="35"/>
      <c r="L143" s="34" t="s">
        <v>4181</v>
      </c>
      <c r="M143" s="35" t="s">
        <v>29</v>
      </c>
      <c r="N143" s="34" t="s">
        <v>3797</v>
      </c>
      <c r="O143" s="35" t="s">
        <v>816</v>
      </c>
      <c r="P143" s="35" t="s">
        <v>2710</v>
      </c>
    </row>
    <row r="144" spans="1:16" ht="13.2" customHeight="1" x14ac:dyDescent="0.25">
      <c r="A144" s="33">
        <v>142</v>
      </c>
      <c r="B144" s="34" t="s">
        <v>5057</v>
      </c>
      <c r="C144" s="35"/>
      <c r="D144" s="34" t="s">
        <v>4706</v>
      </c>
      <c r="E144" s="34" t="s">
        <v>4707</v>
      </c>
      <c r="F144" s="34" t="s">
        <v>4177</v>
      </c>
      <c r="G144" s="34" t="s">
        <v>4806</v>
      </c>
      <c r="H144" s="34" t="s">
        <v>4807</v>
      </c>
      <c r="I144" s="33" t="s">
        <v>84</v>
      </c>
      <c r="J144" s="34" t="s">
        <v>5009</v>
      </c>
      <c r="K144" s="35"/>
      <c r="L144" s="34" t="s">
        <v>4181</v>
      </c>
      <c r="M144" s="35" t="s">
        <v>29</v>
      </c>
      <c r="N144" s="34" t="s">
        <v>3803</v>
      </c>
      <c r="O144" s="35" t="s">
        <v>816</v>
      </c>
      <c r="P144" s="35" t="s">
        <v>2710</v>
      </c>
    </row>
    <row r="145" spans="1:16" ht="13.2" customHeight="1" x14ac:dyDescent="0.25">
      <c r="A145" s="33">
        <v>143</v>
      </c>
      <c r="B145" s="34" t="s">
        <v>5058</v>
      </c>
      <c r="C145" s="35"/>
      <c r="D145" s="34" t="s">
        <v>4806</v>
      </c>
      <c r="E145" s="34" t="s">
        <v>4807</v>
      </c>
      <c r="F145" s="34" t="s">
        <v>4532</v>
      </c>
      <c r="G145" s="34" t="s">
        <v>4812</v>
      </c>
      <c r="H145" s="34" t="s">
        <v>4176</v>
      </c>
      <c r="I145" s="33" t="s">
        <v>84</v>
      </c>
      <c r="J145" s="34" t="s">
        <v>5059</v>
      </c>
      <c r="K145" s="35"/>
      <c r="L145" s="34" t="s">
        <v>4181</v>
      </c>
      <c r="M145" s="35" t="s">
        <v>29</v>
      </c>
      <c r="N145" s="34" t="s">
        <v>5060</v>
      </c>
      <c r="O145" s="35" t="s">
        <v>816</v>
      </c>
      <c r="P145" s="35" t="s">
        <v>2710</v>
      </c>
    </row>
    <row r="146" spans="1:16" ht="13.2" customHeight="1" x14ac:dyDescent="0.25">
      <c r="A146" s="33">
        <v>144</v>
      </c>
      <c r="B146" s="34" t="s">
        <v>5061</v>
      </c>
      <c r="C146" s="35"/>
      <c r="D146" s="34" t="s">
        <v>5062</v>
      </c>
      <c r="E146" s="34" t="s">
        <v>5063</v>
      </c>
      <c r="F146" s="34" t="s">
        <v>5064</v>
      </c>
      <c r="G146" s="34" t="s">
        <v>5065</v>
      </c>
      <c r="H146" s="34" t="s">
        <v>5066</v>
      </c>
      <c r="I146" s="33" t="s">
        <v>84</v>
      </c>
      <c r="J146" s="34" t="s">
        <v>5067</v>
      </c>
      <c r="K146" s="35"/>
      <c r="L146" s="34" t="s">
        <v>4181</v>
      </c>
      <c r="M146" s="35" t="s">
        <v>29</v>
      </c>
      <c r="N146" s="34" t="s">
        <v>3733</v>
      </c>
      <c r="O146" s="35" t="s">
        <v>816</v>
      </c>
      <c r="P146" s="35" t="s">
        <v>2710</v>
      </c>
    </row>
    <row r="147" spans="1:16" ht="13.2" customHeight="1" x14ac:dyDescent="0.25">
      <c r="A147" s="33">
        <v>145</v>
      </c>
      <c r="B147" s="34" t="s">
        <v>5068</v>
      </c>
      <c r="C147" s="35"/>
      <c r="D147" s="34" t="s">
        <v>2274</v>
      </c>
      <c r="E147" s="34" t="s">
        <v>4178</v>
      </c>
      <c r="F147" s="34" t="s">
        <v>4800</v>
      </c>
      <c r="G147" s="34" t="s">
        <v>4705</v>
      </c>
      <c r="H147" s="34" t="s">
        <v>4706</v>
      </c>
      <c r="I147" s="33" t="s">
        <v>84</v>
      </c>
      <c r="J147" s="34" t="s">
        <v>5069</v>
      </c>
      <c r="K147" s="35"/>
      <c r="L147" s="34" t="s">
        <v>4181</v>
      </c>
      <c r="M147" s="35" t="s">
        <v>29</v>
      </c>
      <c r="N147" s="34" t="s">
        <v>2575</v>
      </c>
      <c r="O147" s="35" t="s">
        <v>816</v>
      </c>
      <c r="P147" s="35" t="s">
        <v>2710</v>
      </c>
    </row>
    <row r="148" spans="1:16" ht="13.2" customHeight="1" x14ac:dyDescent="0.25">
      <c r="A148" s="33">
        <v>146</v>
      </c>
      <c r="B148" s="34" t="s">
        <v>5070</v>
      </c>
      <c r="C148" s="35"/>
      <c r="D148" s="34" t="s">
        <v>4705</v>
      </c>
      <c r="E148" s="34" t="s">
        <v>4706</v>
      </c>
      <c r="F148" s="34" t="s">
        <v>4707</v>
      </c>
      <c r="G148" s="34" t="s">
        <v>4177</v>
      </c>
      <c r="H148" s="34" t="s">
        <v>4806</v>
      </c>
      <c r="I148" s="33" t="s">
        <v>84</v>
      </c>
      <c r="J148" s="34" t="s">
        <v>5071</v>
      </c>
      <c r="K148" s="35"/>
      <c r="L148" s="34" t="s">
        <v>4181</v>
      </c>
      <c r="M148" s="35" t="s">
        <v>29</v>
      </c>
      <c r="N148" s="34" t="s">
        <v>2655</v>
      </c>
      <c r="O148" s="35" t="s">
        <v>816</v>
      </c>
      <c r="P148" s="35" t="s">
        <v>2711</v>
      </c>
    </row>
    <row r="149" spans="1:16" ht="13.2" customHeight="1" x14ac:dyDescent="0.25">
      <c r="A149" s="33">
        <v>147</v>
      </c>
      <c r="B149" s="34" t="s">
        <v>5072</v>
      </c>
      <c r="C149" s="35"/>
      <c r="D149" s="34" t="s">
        <v>5073</v>
      </c>
      <c r="E149" s="34" t="s">
        <v>4806</v>
      </c>
      <c r="F149" s="34" t="s">
        <v>4807</v>
      </c>
      <c r="G149" s="34" t="s">
        <v>4532</v>
      </c>
      <c r="H149" s="34" t="s">
        <v>4812</v>
      </c>
      <c r="I149" s="33" t="s">
        <v>84</v>
      </c>
      <c r="J149" s="34" t="s">
        <v>5074</v>
      </c>
      <c r="K149" s="35"/>
      <c r="L149" s="34" t="s">
        <v>4181</v>
      </c>
      <c r="M149" s="35" t="s">
        <v>29</v>
      </c>
      <c r="N149" s="34" t="s">
        <v>5075</v>
      </c>
      <c r="O149" s="35" t="s">
        <v>816</v>
      </c>
      <c r="P149" s="35" t="s">
        <v>2711</v>
      </c>
    </row>
    <row r="150" spans="1:16" ht="13.2" customHeight="1" x14ac:dyDescent="0.25">
      <c r="A150" s="33">
        <v>148</v>
      </c>
      <c r="B150" s="34" t="s">
        <v>5076</v>
      </c>
      <c r="C150" s="35"/>
      <c r="D150" s="34" t="s">
        <v>4532</v>
      </c>
      <c r="E150" s="34" t="s">
        <v>4812</v>
      </c>
      <c r="F150" s="34" t="s">
        <v>4176</v>
      </c>
      <c r="G150" s="34" t="s">
        <v>4175</v>
      </c>
      <c r="H150" s="34" t="s">
        <v>2274</v>
      </c>
      <c r="I150" s="33" t="s">
        <v>84</v>
      </c>
      <c r="J150" s="34" t="s">
        <v>4985</v>
      </c>
      <c r="K150" s="35"/>
      <c r="L150" s="34" t="s">
        <v>4181</v>
      </c>
      <c r="M150" s="35" t="s">
        <v>29</v>
      </c>
      <c r="N150" s="34" t="s">
        <v>3887</v>
      </c>
      <c r="O150" s="35" t="s">
        <v>816</v>
      </c>
      <c r="P150" s="35" t="s">
        <v>2711</v>
      </c>
    </row>
    <row r="151" spans="1:16" ht="13.2" customHeight="1" x14ac:dyDescent="0.25">
      <c r="A151" s="33">
        <v>149</v>
      </c>
      <c r="B151" s="34" t="s">
        <v>5077</v>
      </c>
      <c r="C151" s="35"/>
      <c r="D151" s="34" t="s">
        <v>4175</v>
      </c>
      <c r="E151" s="34" t="s">
        <v>2274</v>
      </c>
      <c r="F151" s="34" t="s">
        <v>4178</v>
      </c>
      <c r="G151" s="34" t="s">
        <v>4800</v>
      </c>
      <c r="H151" s="34" t="s">
        <v>4705</v>
      </c>
      <c r="I151" s="33" t="s">
        <v>123</v>
      </c>
      <c r="J151" s="34" t="s">
        <v>5078</v>
      </c>
      <c r="K151" s="35"/>
      <c r="L151" s="34" t="s">
        <v>4181</v>
      </c>
      <c r="M151" s="35" t="s">
        <v>29</v>
      </c>
      <c r="N151" s="34" t="s">
        <v>3887</v>
      </c>
      <c r="O151" s="35" t="s">
        <v>816</v>
      </c>
      <c r="P151" s="35" t="s">
        <v>2711</v>
      </c>
    </row>
    <row r="152" spans="1:16" ht="13.2" customHeight="1" x14ac:dyDescent="0.25">
      <c r="A152" s="33">
        <v>150</v>
      </c>
      <c r="B152" s="34" t="s">
        <v>5079</v>
      </c>
      <c r="C152" s="35"/>
      <c r="D152" s="34" t="s">
        <v>4800</v>
      </c>
      <c r="E152" s="34" t="s">
        <v>4705</v>
      </c>
      <c r="F152" s="34" t="s">
        <v>4706</v>
      </c>
      <c r="G152" s="34" t="s">
        <v>4707</v>
      </c>
      <c r="H152" s="34" t="s">
        <v>4177</v>
      </c>
      <c r="I152" s="33" t="s">
        <v>84</v>
      </c>
      <c r="J152" s="34" t="s">
        <v>4991</v>
      </c>
      <c r="K152" s="35"/>
      <c r="L152" s="34" t="s">
        <v>4181</v>
      </c>
      <c r="M152" s="35" t="s">
        <v>29</v>
      </c>
      <c r="N152" s="34" t="s">
        <v>3951</v>
      </c>
      <c r="O152" s="35" t="s">
        <v>816</v>
      </c>
      <c r="P152" s="35" t="s">
        <v>2711</v>
      </c>
    </row>
    <row r="153" spans="1:16" ht="13.2" customHeight="1" x14ac:dyDescent="0.25">
      <c r="A153" s="33">
        <v>151</v>
      </c>
      <c r="B153" s="34" t="s">
        <v>5080</v>
      </c>
      <c r="C153" s="35"/>
      <c r="D153" s="34" t="s">
        <v>4707</v>
      </c>
      <c r="E153" s="34" t="s">
        <v>4177</v>
      </c>
      <c r="F153" s="34" t="s">
        <v>4806</v>
      </c>
      <c r="G153" s="34" t="s">
        <v>4807</v>
      </c>
      <c r="H153" s="34" t="s">
        <v>4532</v>
      </c>
      <c r="I153" s="33" t="s">
        <v>84</v>
      </c>
      <c r="J153" s="34" t="s">
        <v>5046</v>
      </c>
      <c r="K153" s="35"/>
      <c r="L153" s="34" t="s">
        <v>4181</v>
      </c>
      <c r="M153" s="35" t="s">
        <v>29</v>
      </c>
      <c r="N153" s="34" t="s">
        <v>2655</v>
      </c>
      <c r="O153" s="35" t="s">
        <v>816</v>
      </c>
      <c r="P153" s="35" t="s">
        <v>2711</v>
      </c>
    </row>
    <row r="154" spans="1:16" ht="13.2" customHeight="1" x14ac:dyDescent="0.25">
      <c r="A154" s="33">
        <v>152</v>
      </c>
      <c r="B154" s="34" t="s">
        <v>5081</v>
      </c>
      <c r="C154" s="35"/>
      <c r="D154" s="34" t="s">
        <v>4807</v>
      </c>
      <c r="E154" s="34" t="s">
        <v>4532</v>
      </c>
      <c r="F154" s="34" t="s">
        <v>4812</v>
      </c>
      <c r="G154" s="34" t="s">
        <v>4176</v>
      </c>
      <c r="H154" s="34" t="s">
        <v>4175</v>
      </c>
      <c r="I154" s="33" t="s">
        <v>84</v>
      </c>
      <c r="J154" s="34" t="s">
        <v>5082</v>
      </c>
      <c r="K154" s="35"/>
      <c r="L154" s="34" t="s">
        <v>4181</v>
      </c>
      <c r="M154" s="35" t="s">
        <v>29</v>
      </c>
      <c r="N154" s="34" t="s">
        <v>1669</v>
      </c>
      <c r="O154" s="35" t="s">
        <v>816</v>
      </c>
      <c r="P154" s="35" t="s">
        <v>2711</v>
      </c>
    </row>
    <row r="155" spans="1:16" ht="13.2" customHeight="1" x14ac:dyDescent="0.25">
      <c r="A155" s="33">
        <v>153</v>
      </c>
      <c r="B155" s="34" t="s">
        <v>5083</v>
      </c>
      <c r="C155" s="35"/>
      <c r="D155" s="34" t="s">
        <v>4176</v>
      </c>
      <c r="E155" s="34" t="s">
        <v>4175</v>
      </c>
      <c r="F155" s="34" t="s">
        <v>2274</v>
      </c>
      <c r="G155" s="34" t="s">
        <v>4178</v>
      </c>
      <c r="H155" s="34" t="s">
        <v>4800</v>
      </c>
      <c r="I155" s="33" t="s">
        <v>84</v>
      </c>
      <c r="J155" s="34" t="s">
        <v>5054</v>
      </c>
      <c r="K155" s="35"/>
      <c r="L155" s="34" t="s">
        <v>4181</v>
      </c>
      <c r="M155" s="35" t="s">
        <v>29</v>
      </c>
      <c r="N155" s="34" t="s">
        <v>3900</v>
      </c>
      <c r="O155" s="35" t="s">
        <v>816</v>
      </c>
      <c r="P155" s="35" t="s">
        <v>2711</v>
      </c>
    </row>
    <row r="156" spans="1:16" ht="13.2" customHeight="1" x14ac:dyDescent="0.25">
      <c r="A156" s="33">
        <v>154</v>
      </c>
      <c r="B156" s="34" t="s">
        <v>5084</v>
      </c>
      <c r="C156" s="35"/>
      <c r="D156" s="34" t="s">
        <v>1532</v>
      </c>
      <c r="E156" s="34" t="s">
        <v>542</v>
      </c>
      <c r="F156" s="34" t="s">
        <v>5085</v>
      </c>
      <c r="G156" s="34" t="s">
        <v>5086</v>
      </c>
      <c r="H156" s="34" t="s">
        <v>5087</v>
      </c>
      <c r="I156" s="33" t="s">
        <v>84</v>
      </c>
      <c r="J156" s="34" t="s">
        <v>5088</v>
      </c>
      <c r="K156" s="35"/>
      <c r="L156" s="34" t="s">
        <v>4181</v>
      </c>
      <c r="M156" s="35" t="s">
        <v>29</v>
      </c>
      <c r="N156" s="34" t="s">
        <v>5089</v>
      </c>
      <c r="O156" s="35" t="s">
        <v>816</v>
      </c>
      <c r="P156" s="35" t="s">
        <v>2711</v>
      </c>
    </row>
    <row r="157" spans="1:16" ht="13.2" customHeight="1" x14ac:dyDescent="0.25">
      <c r="A157" s="33">
        <v>155</v>
      </c>
      <c r="B157" s="34" t="s">
        <v>5090</v>
      </c>
      <c r="C157" s="35"/>
      <c r="D157" s="34" t="s">
        <v>5091</v>
      </c>
      <c r="E157" s="34" t="s">
        <v>5092</v>
      </c>
      <c r="F157" s="34" t="s">
        <v>5093</v>
      </c>
      <c r="G157" s="34" t="s">
        <v>5094</v>
      </c>
      <c r="H157" s="34" t="s">
        <v>5095</v>
      </c>
      <c r="I157" s="33" t="s">
        <v>96</v>
      </c>
      <c r="J157" s="34" t="s">
        <v>5096</v>
      </c>
      <c r="K157" s="35"/>
      <c r="L157" s="34" t="s">
        <v>4181</v>
      </c>
      <c r="M157" s="35" t="s">
        <v>29</v>
      </c>
      <c r="N157" s="34" t="s">
        <v>5097</v>
      </c>
      <c r="O157" s="35" t="s">
        <v>816</v>
      </c>
      <c r="P157" s="35" t="s">
        <v>2711</v>
      </c>
    </row>
    <row r="158" spans="1:16" ht="13.2" customHeight="1" x14ac:dyDescent="0.25">
      <c r="A158" s="33">
        <v>156</v>
      </c>
      <c r="B158" s="34" t="s">
        <v>5098</v>
      </c>
      <c r="C158" s="35"/>
      <c r="D158" s="34" t="s">
        <v>4806</v>
      </c>
      <c r="E158" s="34" t="s">
        <v>4807</v>
      </c>
      <c r="F158" s="34" t="s">
        <v>4532</v>
      </c>
      <c r="G158" s="34" t="s">
        <v>4812</v>
      </c>
      <c r="H158" s="34" t="s">
        <v>4176</v>
      </c>
      <c r="I158" s="33" t="s">
        <v>84</v>
      </c>
      <c r="J158" s="34" t="s">
        <v>5059</v>
      </c>
      <c r="K158" s="35"/>
      <c r="L158" s="34" t="s">
        <v>4181</v>
      </c>
      <c r="M158" s="35" t="s">
        <v>29</v>
      </c>
      <c r="N158" s="34" t="s">
        <v>2655</v>
      </c>
      <c r="O158" s="35" t="s">
        <v>816</v>
      </c>
      <c r="P158" s="35" t="s">
        <v>2711</v>
      </c>
    </row>
    <row r="159" spans="1:16" ht="13.2" customHeight="1" x14ac:dyDescent="0.25">
      <c r="A159" s="33">
        <v>157</v>
      </c>
      <c r="B159" s="34" t="s">
        <v>5099</v>
      </c>
      <c r="C159" s="35"/>
      <c r="D159" s="34" t="s">
        <v>4812</v>
      </c>
      <c r="E159" s="34" t="s">
        <v>4176</v>
      </c>
      <c r="F159" s="34" t="s">
        <v>4175</v>
      </c>
      <c r="G159" s="34" t="s">
        <v>2274</v>
      </c>
      <c r="H159" s="34" t="s">
        <v>4178</v>
      </c>
      <c r="I159" s="33" t="s">
        <v>84</v>
      </c>
      <c r="J159" s="34" t="s">
        <v>4972</v>
      </c>
      <c r="K159" s="35"/>
      <c r="L159" s="34" t="s">
        <v>4181</v>
      </c>
      <c r="M159" s="35" t="s">
        <v>29</v>
      </c>
      <c r="N159" s="34" t="s">
        <v>5100</v>
      </c>
      <c r="O159" s="35" t="s">
        <v>816</v>
      </c>
      <c r="P159" s="35" t="s">
        <v>2711</v>
      </c>
    </row>
    <row r="160" spans="1:16" ht="13.2" customHeight="1" x14ac:dyDescent="0.25">
      <c r="A160" s="33">
        <v>158</v>
      </c>
      <c r="B160" s="34" t="s">
        <v>5101</v>
      </c>
      <c r="C160" s="35"/>
      <c r="D160" s="34" t="s">
        <v>2274</v>
      </c>
      <c r="E160" s="34" t="s">
        <v>4178</v>
      </c>
      <c r="F160" s="34" t="s">
        <v>4800</v>
      </c>
      <c r="G160" s="34" t="s">
        <v>4705</v>
      </c>
      <c r="H160" s="34" t="s">
        <v>4706</v>
      </c>
      <c r="I160" s="33" t="s">
        <v>84</v>
      </c>
      <c r="J160" s="34" t="s">
        <v>5102</v>
      </c>
      <c r="K160" s="35"/>
      <c r="L160" s="34" t="s">
        <v>4181</v>
      </c>
      <c r="M160" s="35" t="s">
        <v>29</v>
      </c>
      <c r="N160" s="34" t="s">
        <v>3936</v>
      </c>
      <c r="O160" s="35" t="s">
        <v>816</v>
      </c>
      <c r="P160" s="35" t="s">
        <v>2711</v>
      </c>
    </row>
    <row r="161" spans="1:16" ht="13.2" customHeight="1" x14ac:dyDescent="0.25">
      <c r="A161" s="33">
        <v>159</v>
      </c>
      <c r="B161" s="34" t="s">
        <v>5103</v>
      </c>
      <c r="C161" s="35"/>
      <c r="D161" s="34" t="s">
        <v>4705</v>
      </c>
      <c r="E161" s="34" t="s">
        <v>4706</v>
      </c>
      <c r="F161" s="34" t="s">
        <v>4707</v>
      </c>
      <c r="G161" s="34" t="s">
        <v>4177</v>
      </c>
      <c r="H161" s="34" t="s">
        <v>4806</v>
      </c>
      <c r="I161" s="33" t="s">
        <v>84</v>
      </c>
      <c r="J161" s="34" t="s">
        <v>5071</v>
      </c>
      <c r="K161" s="35"/>
      <c r="L161" s="34" t="s">
        <v>4181</v>
      </c>
      <c r="M161" s="35" t="s">
        <v>29</v>
      </c>
      <c r="N161" s="34" t="s">
        <v>3900</v>
      </c>
      <c r="O161" s="35" t="s">
        <v>816</v>
      </c>
      <c r="P161" s="35" t="s">
        <v>2711</v>
      </c>
    </row>
    <row r="162" spans="1:16" ht="13.2" customHeight="1" x14ac:dyDescent="0.25">
      <c r="A162" s="33">
        <v>160</v>
      </c>
      <c r="B162" s="34" t="s">
        <v>5104</v>
      </c>
      <c r="C162" s="35"/>
      <c r="D162" s="34" t="s">
        <v>4177</v>
      </c>
      <c r="E162" s="34" t="s">
        <v>4806</v>
      </c>
      <c r="F162" s="34" t="s">
        <v>4807</v>
      </c>
      <c r="G162" s="34" t="s">
        <v>4532</v>
      </c>
      <c r="H162" s="34" t="s">
        <v>4812</v>
      </c>
      <c r="I162" s="33" t="s">
        <v>84</v>
      </c>
      <c r="J162" s="34" t="s">
        <v>5105</v>
      </c>
      <c r="K162" s="35"/>
      <c r="L162" s="34" t="s">
        <v>4181</v>
      </c>
      <c r="M162" s="35" t="s">
        <v>29</v>
      </c>
      <c r="N162" s="34" t="s">
        <v>3887</v>
      </c>
      <c r="O162" s="35" t="s">
        <v>816</v>
      </c>
      <c r="P162" s="35" t="s">
        <v>2711</v>
      </c>
    </row>
    <row r="163" spans="1:16" ht="13.2" customHeight="1" x14ac:dyDescent="0.25">
      <c r="A163" s="33">
        <v>161</v>
      </c>
      <c r="B163" s="34" t="s">
        <v>5106</v>
      </c>
      <c r="C163" s="35"/>
      <c r="D163" s="34" t="s">
        <v>4532</v>
      </c>
      <c r="E163" s="34" t="s">
        <v>4812</v>
      </c>
      <c r="F163" s="34" t="s">
        <v>4176</v>
      </c>
      <c r="G163" s="34" t="s">
        <v>4175</v>
      </c>
      <c r="H163" s="34" t="s">
        <v>2274</v>
      </c>
      <c r="I163" s="33" t="s">
        <v>84</v>
      </c>
      <c r="J163" s="34" t="s">
        <v>4985</v>
      </c>
      <c r="K163" s="35"/>
      <c r="L163" s="34" t="s">
        <v>4181</v>
      </c>
      <c r="M163" s="35" t="s">
        <v>29</v>
      </c>
      <c r="N163" s="34" t="s">
        <v>1669</v>
      </c>
      <c r="O163" s="35" t="s">
        <v>816</v>
      </c>
      <c r="P163" s="35" t="s">
        <v>2711</v>
      </c>
    </row>
    <row r="164" spans="1:16" ht="13.2" customHeight="1" x14ac:dyDescent="0.25">
      <c r="A164" s="33">
        <v>162</v>
      </c>
      <c r="B164" s="34" t="s">
        <v>5107</v>
      </c>
      <c r="C164" s="35"/>
      <c r="D164" s="34" t="s">
        <v>5108</v>
      </c>
      <c r="E164" s="34" t="s">
        <v>5109</v>
      </c>
      <c r="F164" s="34" t="s">
        <v>5110</v>
      </c>
      <c r="G164" s="34" t="s">
        <v>5111</v>
      </c>
      <c r="H164" s="34" t="s">
        <v>5112</v>
      </c>
      <c r="I164" s="33">
        <v>1</v>
      </c>
      <c r="J164" s="34" t="s">
        <v>5113</v>
      </c>
      <c r="K164" s="35"/>
      <c r="L164" s="34" t="s">
        <v>4181</v>
      </c>
      <c r="M164" s="35" t="s">
        <v>29</v>
      </c>
      <c r="N164" s="34" t="s">
        <v>1669</v>
      </c>
      <c r="O164" s="35" t="s">
        <v>816</v>
      </c>
      <c r="P164" s="35" t="s">
        <v>2711</v>
      </c>
    </row>
    <row r="165" spans="1:16" ht="13.2" customHeight="1" x14ac:dyDescent="0.25">
      <c r="A165" s="33">
        <v>163</v>
      </c>
      <c r="B165" s="34" t="s">
        <v>5114</v>
      </c>
      <c r="C165" s="35"/>
      <c r="D165" s="34" t="s">
        <v>107</v>
      </c>
      <c r="E165" s="34" t="s">
        <v>5115</v>
      </c>
      <c r="F165" s="34" t="s">
        <v>4667</v>
      </c>
      <c r="G165" s="34" t="s">
        <v>106</v>
      </c>
      <c r="H165" s="34" t="s">
        <v>5116</v>
      </c>
      <c r="I165" s="33" t="s">
        <v>84</v>
      </c>
      <c r="J165" s="34" t="s">
        <v>5117</v>
      </c>
      <c r="K165" s="35"/>
      <c r="L165" s="34" t="s">
        <v>4181</v>
      </c>
      <c r="M165" s="35" t="s">
        <v>29</v>
      </c>
      <c r="N165" s="34" t="s">
        <v>3900</v>
      </c>
      <c r="O165" s="35" t="s">
        <v>816</v>
      </c>
      <c r="P165" s="35" t="s">
        <v>2711</v>
      </c>
    </row>
    <row r="166" spans="1:16" ht="13.2" customHeight="1" x14ac:dyDescent="0.25">
      <c r="A166" s="33">
        <v>164</v>
      </c>
      <c r="B166" s="34" t="s">
        <v>5118</v>
      </c>
      <c r="C166" s="35"/>
      <c r="D166" s="34" t="s">
        <v>4707</v>
      </c>
      <c r="E166" s="34" t="s">
        <v>4177</v>
      </c>
      <c r="F166" s="34" t="s">
        <v>4806</v>
      </c>
      <c r="G166" s="34" t="s">
        <v>4807</v>
      </c>
      <c r="H166" s="34" t="s">
        <v>4532</v>
      </c>
      <c r="I166" s="33" t="s">
        <v>84</v>
      </c>
      <c r="J166" s="34" t="s">
        <v>5046</v>
      </c>
      <c r="K166" s="35"/>
      <c r="L166" s="34" t="s">
        <v>4181</v>
      </c>
      <c r="M166" s="35" t="s">
        <v>29</v>
      </c>
      <c r="N166" s="34" t="s">
        <v>3900</v>
      </c>
      <c r="O166" s="35" t="s">
        <v>816</v>
      </c>
      <c r="P166" s="35" t="s">
        <v>2711</v>
      </c>
    </row>
    <row r="167" spans="1:16" ht="13.2" customHeight="1" x14ac:dyDescent="0.25">
      <c r="A167" s="33">
        <v>165</v>
      </c>
      <c r="B167" s="34" t="s">
        <v>5119</v>
      </c>
      <c r="C167" s="35"/>
      <c r="D167" s="34" t="s">
        <v>4807</v>
      </c>
      <c r="E167" s="34" t="s">
        <v>4532</v>
      </c>
      <c r="F167" s="34" t="s">
        <v>4812</v>
      </c>
      <c r="G167" s="34" t="s">
        <v>4176</v>
      </c>
      <c r="H167" s="34" t="s">
        <v>4175</v>
      </c>
      <c r="I167" s="33" t="s">
        <v>84</v>
      </c>
      <c r="J167" s="34" t="s">
        <v>5082</v>
      </c>
      <c r="K167" s="35"/>
      <c r="L167" s="34" t="s">
        <v>4181</v>
      </c>
      <c r="M167" s="35" t="s">
        <v>29</v>
      </c>
      <c r="N167" s="34" t="s">
        <v>3936</v>
      </c>
      <c r="O167" s="35" t="s">
        <v>816</v>
      </c>
      <c r="P167" s="35" t="s">
        <v>2711</v>
      </c>
    </row>
    <row r="168" spans="1:16" ht="13.2" customHeight="1" x14ac:dyDescent="0.25">
      <c r="A168" s="33">
        <v>166</v>
      </c>
      <c r="B168" s="34" t="s">
        <v>5120</v>
      </c>
      <c r="C168" s="35"/>
      <c r="D168" s="34" t="s">
        <v>5121</v>
      </c>
      <c r="E168" s="34" t="s">
        <v>4175</v>
      </c>
      <c r="F168" s="34" t="s">
        <v>2274</v>
      </c>
      <c r="G168" s="34" t="s">
        <v>4178</v>
      </c>
      <c r="H168" s="34" t="s">
        <v>4800</v>
      </c>
      <c r="I168" s="33" t="s">
        <v>90</v>
      </c>
      <c r="J168" s="34" t="s">
        <v>5122</v>
      </c>
      <c r="K168" s="35"/>
      <c r="L168" s="34" t="s">
        <v>4181</v>
      </c>
      <c r="M168" s="35" t="s">
        <v>29</v>
      </c>
      <c r="N168" s="34" t="s">
        <v>3887</v>
      </c>
      <c r="O168" s="35" t="s">
        <v>816</v>
      </c>
      <c r="P168" s="35" t="s">
        <v>2711</v>
      </c>
    </row>
    <row r="169" spans="1:16" ht="13.2" customHeight="1" x14ac:dyDescent="0.25">
      <c r="A169" s="33">
        <v>167</v>
      </c>
      <c r="B169" s="34" t="s">
        <v>5123</v>
      </c>
      <c r="C169" s="35"/>
      <c r="D169" s="34" t="s">
        <v>4178</v>
      </c>
      <c r="E169" s="34" t="s">
        <v>4800</v>
      </c>
      <c r="F169" s="34" t="s">
        <v>4705</v>
      </c>
      <c r="G169" s="34" t="s">
        <v>4706</v>
      </c>
      <c r="H169" s="34" t="s">
        <v>4707</v>
      </c>
      <c r="I169" s="33" t="s">
        <v>84</v>
      </c>
      <c r="J169" s="34" t="s">
        <v>5056</v>
      </c>
      <c r="K169" s="35"/>
      <c r="L169" s="34" t="s">
        <v>4181</v>
      </c>
      <c r="M169" s="35" t="s">
        <v>29</v>
      </c>
      <c r="N169" s="34" t="s">
        <v>3887</v>
      </c>
      <c r="O169" s="35" t="s">
        <v>816</v>
      </c>
      <c r="P169" s="35" t="s">
        <v>2711</v>
      </c>
    </row>
    <row r="170" spans="1:16" ht="13.2" customHeight="1" x14ac:dyDescent="0.25">
      <c r="A170" s="33">
        <v>168</v>
      </c>
      <c r="B170" s="34" t="s">
        <v>5124</v>
      </c>
      <c r="C170" s="35"/>
      <c r="D170" s="34" t="s">
        <v>4706</v>
      </c>
      <c r="E170" s="34" t="s">
        <v>4707</v>
      </c>
      <c r="F170" s="34" t="s">
        <v>4177</v>
      </c>
      <c r="G170" s="34" t="s">
        <v>4806</v>
      </c>
      <c r="H170" s="34" t="s">
        <v>4807</v>
      </c>
      <c r="I170" s="33" t="s">
        <v>84</v>
      </c>
      <c r="J170" s="34" t="s">
        <v>5009</v>
      </c>
      <c r="K170" s="35"/>
      <c r="L170" s="34" t="s">
        <v>4181</v>
      </c>
      <c r="M170" s="35" t="s">
        <v>29</v>
      </c>
      <c r="N170" s="34" t="s">
        <v>3900</v>
      </c>
      <c r="O170" s="35" t="s">
        <v>816</v>
      </c>
      <c r="P170" s="35" t="s">
        <v>2711</v>
      </c>
    </row>
    <row r="171" spans="1:16" ht="13.2" customHeight="1" x14ac:dyDescent="0.25">
      <c r="A171" s="33">
        <v>169</v>
      </c>
      <c r="B171" s="34" t="s">
        <v>5125</v>
      </c>
      <c r="C171" s="35"/>
      <c r="D171" s="34" t="s">
        <v>4806</v>
      </c>
      <c r="E171" s="34" t="s">
        <v>4807</v>
      </c>
      <c r="F171" s="34" t="s">
        <v>4532</v>
      </c>
      <c r="G171" s="34" t="s">
        <v>4812</v>
      </c>
      <c r="H171" s="34" t="s">
        <v>4176</v>
      </c>
      <c r="I171" s="33" t="s">
        <v>84</v>
      </c>
      <c r="J171" s="34" t="s">
        <v>5059</v>
      </c>
      <c r="K171" s="35"/>
      <c r="L171" s="34" t="s">
        <v>4181</v>
      </c>
      <c r="M171" s="35" t="s">
        <v>29</v>
      </c>
      <c r="N171" s="34" t="s">
        <v>2655</v>
      </c>
      <c r="O171" s="35" t="s">
        <v>816</v>
      </c>
      <c r="P171" s="35" t="s">
        <v>2711</v>
      </c>
    </row>
    <row r="172" spans="1:16" ht="13.2" customHeight="1" x14ac:dyDescent="0.25">
      <c r="A172" s="33">
        <v>170</v>
      </c>
      <c r="B172" s="34" t="s">
        <v>5126</v>
      </c>
      <c r="C172" s="35"/>
      <c r="D172" s="34" t="s">
        <v>4812</v>
      </c>
      <c r="E172" s="34" t="s">
        <v>4176</v>
      </c>
      <c r="F172" s="34" t="s">
        <v>4175</v>
      </c>
      <c r="G172" s="34" t="s">
        <v>2274</v>
      </c>
      <c r="H172" s="34" t="s">
        <v>4178</v>
      </c>
      <c r="I172" s="33" t="s">
        <v>84</v>
      </c>
      <c r="J172" s="34" t="s">
        <v>4972</v>
      </c>
      <c r="K172" s="35"/>
      <c r="L172" s="34" t="s">
        <v>4181</v>
      </c>
      <c r="M172" s="35" t="s">
        <v>29</v>
      </c>
      <c r="N172" s="34" t="s">
        <v>3887</v>
      </c>
      <c r="O172" s="35" t="s">
        <v>816</v>
      </c>
      <c r="P172" s="35" t="s">
        <v>2711</v>
      </c>
    </row>
    <row r="173" spans="1:16" ht="13.2" customHeight="1" x14ac:dyDescent="0.25">
      <c r="A173" s="33">
        <v>171</v>
      </c>
      <c r="B173" s="34" t="s">
        <v>5127</v>
      </c>
      <c r="C173" s="35"/>
      <c r="D173" s="34" t="s">
        <v>4413</v>
      </c>
      <c r="E173" s="34" t="s">
        <v>109</v>
      </c>
      <c r="F173" s="34" t="s">
        <v>110</v>
      </c>
      <c r="G173" s="34" t="s">
        <v>5128</v>
      </c>
      <c r="H173" s="34" t="s">
        <v>106</v>
      </c>
      <c r="I173" s="33" t="s">
        <v>84</v>
      </c>
      <c r="J173" s="34" t="s">
        <v>5129</v>
      </c>
      <c r="K173" s="35"/>
      <c r="L173" s="34" t="s">
        <v>4181</v>
      </c>
      <c r="M173" s="35" t="s">
        <v>29</v>
      </c>
      <c r="N173" s="34" t="s">
        <v>5130</v>
      </c>
      <c r="O173" s="35" t="s">
        <v>816</v>
      </c>
      <c r="P173" s="35" t="s">
        <v>2711</v>
      </c>
    </row>
    <row r="174" spans="1:16" ht="13.2" customHeight="1" x14ac:dyDescent="0.25">
      <c r="A174">
        <v>172</v>
      </c>
      <c r="B174" t="s">
        <v>5131</v>
      </c>
      <c r="D174" t="s">
        <v>107</v>
      </c>
      <c r="E174" t="s">
        <v>5132</v>
      </c>
      <c r="F174" t="s">
        <v>5133</v>
      </c>
      <c r="G174" t="s">
        <v>2022</v>
      </c>
      <c r="H174" t="s">
        <v>5134</v>
      </c>
      <c r="I174" t="s">
        <v>84</v>
      </c>
      <c r="J174" t="s">
        <v>5135</v>
      </c>
      <c r="L174" t="s">
        <v>1732</v>
      </c>
      <c r="M174" t="s">
        <v>29</v>
      </c>
      <c r="N174" t="s">
        <v>5136</v>
      </c>
    </row>
    <row r="175" spans="1:16" ht="13.2" customHeight="1" x14ac:dyDescent="0.25">
      <c r="A175">
        <v>173</v>
      </c>
      <c r="B175" t="s">
        <v>5137</v>
      </c>
      <c r="D175" t="s">
        <v>5138</v>
      </c>
      <c r="E175" t="s">
        <v>5139</v>
      </c>
      <c r="F175" t="s">
        <v>5140</v>
      </c>
      <c r="G175" t="s">
        <v>5141</v>
      </c>
      <c r="H175" t="s">
        <v>5142</v>
      </c>
      <c r="I175" t="s">
        <v>84</v>
      </c>
      <c r="J175" t="s">
        <v>5143</v>
      </c>
      <c r="L175" t="s">
        <v>1645</v>
      </c>
      <c r="M175" t="s">
        <v>29</v>
      </c>
      <c r="N175" t="s">
        <v>5144</v>
      </c>
    </row>
    <row r="176" spans="1:16" ht="13.2" customHeight="1" x14ac:dyDescent="0.25">
      <c r="A176">
        <v>174</v>
      </c>
      <c r="B176" t="s">
        <v>5145</v>
      </c>
      <c r="D176" t="s">
        <v>5146</v>
      </c>
      <c r="E176" t="s">
        <v>5147</v>
      </c>
      <c r="F176" t="s">
        <v>5148</v>
      </c>
      <c r="G176" t="s">
        <v>5149</v>
      </c>
      <c r="H176" t="s">
        <v>5150</v>
      </c>
      <c r="I176" t="s">
        <v>84</v>
      </c>
      <c r="J176" t="s">
        <v>5151</v>
      </c>
      <c r="L176" t="s">
        <v>1645</v>
      </c>
      <c r="M176" t="s">
        <v>29</v>
      </c>
      <c r="N176" t="s">
        <v>3393</v>
      </c>
    </row>
    <row r="177" spans="1:14" ht="13.2" x14ac:dyDescent="0.25">
      <c r="A177">
        <v>175</v>
      </c>
      <c r="B177" t="s">
        <v>5152</v>
      </c>
      <c r="D177" t="s">
        <v>5153</v>
      </c>
      <c r="E177" t="s">
        <v>5154</v>
      </c>
      <c r="F177" t="s">
        <v>5155</v>
      </c>
      <c r="G177" t="s">
        <v>5156</v>
      </c>
      <c r="H177" t="s">
        <v>5157</v>
      </c>
      <c r="I177" t="s">
        <v>84</v>
      </c>
      <c r="J177" t="s">
        <v>5158</v>
      </c>
      <c r="L177" t="s">
        <v>1645</v>
      </c>
      <c r="M177" t="s">
        <v>29</v>
      </c>
      <c r="N177" t="s">
        <v>5159</v>
      </c>
    </row>
    <row r="178" spans="1:14" ht="13.2" x14ac:dyDescent="0.25">
      <c r="A178">
        <v>176</v>
      </c>
      <c r="B178" t="s">
        <v>5160</v>
      </c>
      <c r="D178" t="s">
        <v>106</v>
      </c>
      <c r="E178" t="s">
        <v>107</v>
      </c>
      <c r="F178" t="s">
        <v>108</v>
      </c>
      <c r="G178" t="s">
        <v>109</v>
      </c>
      <c r="H178" t="s">
        <v>4413</v>
      </c>
      <c r="I178" t="s">
        <v>84</v>
      </c>
      <c r="J178" t="s">
        <v>5161</v>
      </c>
      <c r="L178" t="s">
        <v>1645</v>
      </c>
      <c r="M178" t="s">
        <v>29</v>
      </c>
      <c r="N178" t="s">
        <v>5162</v>
      </c>
    </row>
    <row r="179" spans="1:14" ht="13.2" x14ac:dyDescent="0.25">
      <c r="A179">
        <v>177</v>
      </c>
      <c r="B179" t="s">
        <v>5163</v>
      </c>
      <c r="D179" t="s">
        <v>1645</v>
      </c>
      <c r="E179" t="s">
        <v>1889</v>
      </c>
      <c r="F179" t="s">
        <v>5164</v>
      </c>
      <c r="G179" t="s">
        <v>2359</v>
      </c>
      <c r="H179" t="s">
        <v>424</v>
      </c>
      <c r="I179" t="s">
        <v>84</v>
      </c>
      <c r="J179" t="s">
        <v>5165</v>
      </c>
      <c r="L179" t="s">
        <v>1645</v>
      </c>
      <c r="M179" t="s">
        <v>29</v>
      </c>
      <c r="N179" t="s">
        <v>5166</v>
      </c>
    </row>
    <row r="180" spans="1:14" ht="13.2" x14ac:dyDescent="0.25">
      <c r="A180">
        <v>178</v>
      </c>
      <c r="B180" t="s">
        <v>5167</v>
      </c>
      <c r="D180" t="s">
        <v>5168</v>
      </c>
      <c r="E180" t="s">
        <v>5169</v>
      </c>
      <c r="F180" t="s">
        <v>5170</v>
      </c>
      <c r="G180" t="s">
        <v>5171</v>
      </c>
      <c r="H180" t="s">
        <v>5172</v>
      </c>
      <c r="I180">
        <v>1</v>
      </c>
      <c r="J180" t="s">
        <v>5173</v>
      </c>
      <c r="L180" t="s">
        <v>1645</v>
      </c>
      <c r="M180" t="s">
        <v>29</v>
      </c>
      <c r="N180" t="s">
        <v>3634</v>
      </c>
    </row>
    <row r="181" spans="1:14" ht="13.2" x14ac:dyDescent="0.25">
      <c r="A181">
        <v>179</v>
      </c>
      <c r="B181" t="s">
        <v>5174</v>
      </c>
      <c r="D181" t="s">
        <v>5175</v>
      </c>
      <c r="E181" t="s">
        <v>5176</v>
      </c>
      <c r="F181" t="s">
        <v>5177</v>
      </c>
      <c r="G181" t="s">
        <v>5178</v>
      </c>
      <c r="H181" t="s">
        <v>5179</v>
      </c>
      <c r="I181" t="s">
        <v>84</v>
      </c>
      <c r="J181" t="s">
        <v>5180</v>
      </c>
      <c r="L181" t="s">
        <v>1645</v>
      </c>
      <c r="M181" t="s">
        <v>29</v>
      </c>
      <c r="N181" t="s">
        <v>3733</v>
      </c>
    </row>
    <row r="182" spans="1:14" ht="13.2" x14ac:dyDescent="0.25">
      <c r="A182">
        <v>180</v>
      </c>
      <c r="B182" t="s">
        <v>5181</v>
      </c>
      <c r="D182" t="s">
        <v>5182</v>
      </c>
      <c r="E182" t="s">
        <v>5183</v>
      </c>
      <c r="F182" t="s">
        <v>5184</v>
      </c>
      <c r="G182" t="s">
        <v>5185</v>
      </c>
      <c r="H182" t="s">
        <v>5186</v>
      </c>
      <c r="I182" t="s">
        <v>84</v>
      </c>
      <c r="J182" t="s">
        <v>5187</v>
      </c>
      <c r="L182" t="s">
        <v>1645</v>
      </c>
      <c r="M182" t="s">
        <v>29</v>
      </c>
      <c r="N182" t="s">
        <v>2575</v>
      </c>
    </row>
    <row r="183" spans="1:14" ht="13.2" x14ac:dyDescent="0.25">
      <c r="A183">
        <v>181</v>
      </c>
      <c r="B183" t="s">
        <v>5188</v>
      </c>
      <c r="D183" t="s">
        <v>5189</v>
      </c>
      <c r="E183" t="s">
        <v>5190</v>
      </c>
      <c r="F183" t="s">
        <v>5191</v>
      </c>
      <c r="G183" t="s">
        <v>5192</v>
      </c>
      <c r="H183" t="s">
        <v>5193</v>
      </c>
      <c r="I183" t="s">
        <v>84</v>
      </c>
      <c r="J183" t="s">
        <v>5194</v>
      </c>
      <c r="L183" t="s">
        <v>1645</v>
      </c>
      <c r="M183" t="s">
        <v>29</v>
      </c>
      <c r="N183" t="s">
        <v>5060</v>
      </c>
    </row>
    <row r="184" spans="1:14" ht="13.2" x14ac:dyDescent="0.25">
      <c r="A184">
        <v>182</v>
      </c>
      <c r="B184" t="s">
        <v>5195</v>
      </c>
      <c r="D184" t="s">
        <v>5196</v>
      </c>
      <c r="E184" t="s">
        <v>5197</v>
      </c>
      <c r="F184" t="s">
        <v>5198</v>
      </c>
      <c r="G184" t="s">
        <v>5199</v>
      </c>
      <c r="H184" t="s">
        <v>5200</v>
      </c>
      <c r="I184" t="s">
        <v>84</v>
      </c>
      <c r="J184" t="s">
        <v>5201</v>
      </c>
      <c r="L184" t="s">
        <v>1645</v>
      </c>
      <c r="M184" t="s">
        <v>29</v>
      </c>
      <c r="N184" t="s">
        <v>5202</v>
      </c>
    </row>
    <row r="185" spans="1:14" ht="13.2" x14ac:dyDescent="0.25">
      <c r="A185">
        <v>183</v>
      </c>
      <c r="B185" t="s">
        <v>5203</v>
      </c>
      <c r="D185" t="s">
        <v>5204</v>
      </c>
      <c r="E185" t="s">
        <v>5205</v>
      </c>
      <c r="F185" t="s">
        <v>5206</v>
      </c>
      <c r="G185" t="s">
        <v>5207</v>
      </c>
      <c r="H185" t="s">
        <v>799</v>
      </c>
      <c r="I185" t="s">
        <v>84</v>
      </c>
      <c r="J185" t="s">
        <v>5208</v>
      </c>
      <c r="L185" t="s">
        <v>1645</v>
      </c>
      <c r="M185" t="s">
        <v>29</v>
      </c>
      <c r="N185" t="s">
        <v>3864</v>
      </c>
    </row>
    <row r="186" spans="1:14" ht="13.2" x14ac:dyDescent="0.25">
      <c r="A186">
        <v>184</v>
      </c>
      <c r="B186" t="s">
        <v>5209</v>
      </c>
      <c r="D186" t="s">
        <v>5153</v>
      </c>
      <c r="E186" t="s">
        <v>5154</v>
      </c>
      <c r="F186" t="s">
        <v>5155</v>
      </c>
      <c r="G186" t="s">
        <v>5156</v>
      </c>
      <c r="H186" t="s">
        <v>5186</v>
      </c>
      <c r="I186" t="s">
        <v>84</v>
      </c>
      <c r="J186" t="s">
        <v>5210</v>
      </c>
      <c r="L186" t="s">
        <v>1645</v>
      </c>
      <c r="M186" t="s">
        <v>29</v>
      </c>
      <c r="N186" t="s">
        <v>4033</v>
      </c>
    </row>
    <row r="187" spans="1:14" ht="13.2" x14ac:dyDescent="0.25">
      <c r="A187">
        <v>185</v>
      </c>
      <c r="B187" t="s">
        <v>5211</v>
      </c>
      <c r="D187" t="s">
        <v>5212</v>
      </c>
      <c r="E187" t="s">
        <v>5213</v>
      </c>
      <c r="F187" t="s">
        <v>5214</v>
      </c>
      <c r="G187" t="s">
        <v>5215</v>
      </c>
      <c r="H187" t="s">
        <v>5216</v>
      </c>
      <c r="I187" t="s">
        <v>90</v>
      </c>
      <c r="J187" t="s">
        <v>5217</v>
      </c>
      <c r="L187" t="s">
        <v>1645</v>
      </c>
      <c r="M187" t="s">
        <v>29</v>
      </c>
      <c r="N187" t="s">
        <v>5218</v>
      </c>
    </row>
  </sheetData>
  <mergeCells count="1">
    <mergeCell ref="A1:F1"/>
  </mergeCells>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Q198"/>
  <sheetViews>
    <sheetView topLeftCell="B1" workbookViewId="0">
      <pane ySplit="2" topLeftCell="A180" activePane="bottomLeft" state="frozen"/>
      <selection pane="bottomLeft" activeCell="A3" sqref="A3:P198"/>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33">
        <v>1</v>
      </c>
      <c r="B3" s="34" t="s">
        <v>5219</v>
      </c>
      <c r="C3" s="35"/>
      <c r="D3" s="34" t="s">
        <v>5220</v>
      </c>
      <c r="E3" s="34" t="s">
        <v>2254</v>
      </c>
      <c r="F3" s="34" t="s">
        <v>542</v>
      </c>
      <c r="G3" s="34" t="s">
        <v>5221</v>
      </c>
      <c r="H3" s="34" t="s">
        <v>5086</v>
      </c>
      <c r="I3" s="33" t="s">
        <v>90</v>
      </c>
      <c r="J3" s="34" t="s">
        <v>5222</v>
      </c>
      <c r="K3" s="35"/>
      <c r="L3" s="34" t="s">
        <v>5223</v>
      </c>
      <c r="M3" s="35" t="s">
        <v>29</v>
      </c>
      <c r="N3" s="34" t="s">
        <v>1685</v>
      </c>
      <c r="O3" s="35" t="s">
        <v>816</v>
      </c>
      <c r="P3" s="35" t="s">
        <v>669</v>
      </c>
    </row>
    <row r="4" spans="1:16" ht="13.2" customHeight="1" x14ac:dyDescent="0.25">
      <c r="A4" s="33">
        <v>2</v>
      </c>
      <c r="B4" s="34" t="s">
        <v>5224</v>
      </c>
      <c r="C4" s="35"/>
      <c r="D4" s="34" t="s">
        <v>5225</v>
      </c>
      <c r="E4" s="34" t="s">
        <v>5226</v>
      </c>
      <c r="F4" s="34" t="s">
        <v>5227</v>
      </c>
      <c r="G4" s="34" t="s">
        <v>5228</v>
      </c>
      <c r="H4" s="34" t="s">
        <v>5229</v>
      </c>
      <c r="I4" s="33" t="s">
        <v>84</v>
      </c>
      <c r="J4" s="34" t="s">
        <v>5230</v>
      </c>
      <c r="K4" s="35"/>
      <c r="L4" s="34" t="s">
        <v>5231</v>
      </c>
      <c r="M4" s="35" t="s">
        <v>29</v>
      </c>
      <c r="N4" s="34" t="s">
        <v>5232</v>
      </c>
      <c r="O4" s="35" t="s">
        <v>816</v>
      </c>
      <c r="P4" s="35" t="s">
        <v>669</v>
      </c>
    </row>
    <row r="5" spans="1:16" ht="13.2" customHeight="1" x14ac:dyDescent="0.25">
      <c r="A5" s="33">
        <v>3</v>
      </c>
      <c r="B5" s="34" t="s">
        <v>5233</v>
      </c>
      <c r="C5" s="35"/>
      <c r="D5" s="34" t="s">
        <v>5234</v>
      </c>
      <c r="E5" s="34" t="s">
        <v>5235</v>
      </c>
      <c r="F5" s="34" t="s">
        <v>5236</v>
      </c>
      <c r="G5" s="34" t="s">
        <v>5237</v>
      </c>
      <c r="H5" s="34" t="s">
        <v>5238</v>
      </c>
      <c r="I5" s="33" t="s">
        <v>113</v>
      </c>
      <c r="J5" s="34" t="s">
        <v>5239</v>
      </c>
      <c r="K5" s="35"/>
      <c r="L5" s="34" t="s">
        <v>5223</v>
      </c>
      <c r="M5" s="35" t="s">
        <v>29</v>
      </c>
      <c r="N5" s="34" t="s">
        <v>5240</v>
      </c>
      <c r="O5" s="35" t="s">
        <v>816</v>
      </c>
      <c r="P5" s="35" t="s">
        <v>669</v>
      </c>
    </row>
    <row r="6" spans="1:16" ht="13.2" customHeight="1" x14ac:dyDescent="0.25">
      <c r="A6" s="33">
        <v>4</v>
      </c>
      <c r="B6" s="34" t="s">
        <v>5241</v>
      </c>
      <c r="C6" s="35"/>
      <c r="D6" s="34" t="s">
        <v>5242</v>
      </c>
      <c r="E6" s="34" t="s">
        <v>2391</v>
      </c>
      <c r="F6" s="34" t="s">
        <v>5243</v>
      </c>
      <c r="G6" s="34" t="s">
        <v>5244</v>
      </c>
      <c r="H6" s="34" t="s">
        <v>5245</v>
      </c>
      <c r="I6" s="33" t="s">
        <v>84</v>
      </c>
      <c r="J6" s="34" t="s">
        <v>5246</v>
      </c>
      <c r="K6" s="35"/>
      <c r="L6" s="34" t="s">
        <v>5223</v>
      </c>
      <c r="M6" s="35" t="s">
        <v>29</v>
      </c>
      <c r="N6" s="34" t="s">
        <v>5247</v>
      </c>
      <c r="O6" s="35" t="s">
        <v>816</v>
      </c>
      <c r="P6" s="35" t="s">
        <v>669</v>
      </c>
    </row>
    <row r="7" spans="1:16" ht="13.2" customHeight="1" x14ac:dyDescent="0.25">
      <c r="A7" s="33">
        <v>5</v>
      </c>
      <c r="B7" s="34" t="s">
        <v>5248</v>
      </c>
      <c r="C7" s="35"/>
      <c r="D7" s="34" t="s">
        <v>5249</v>
      </c>
      <c r="E7" s="34" t="s">
        <v>5250</v>
      </c>
      <c r="F7" s="34" t="s">
        <v>5251</v>
      </c>
      <c r="G7" s="34" t="s">
        <v>5252</v>
      </c>
      <c r="H7" s="34" t="s">
        <v>5253</v>
      </c>
      <c r="I7" s="33" t="s">
        <v>90</v>
      </c>
      <c r="J7" s="34" t="s">
        <v>5254</v>
      </c>
      <c r="K7" s="35"/>
      <c r="L7" s="34" t="s">
        <v>5223</v>
      </c>
      <c r="M7" s="35" t="s">
        <v>29</v>
      </c>
      <c r="N7" s="34" t="s">
        <v>5255</v>
      </c>
      <c r="O7" s="35" t="s">
        <v>816</v>
      </c>
      <c r="P7" s="35" t="s">
        <v>669</v>
      </c>
    </row>
    <row r="8" spans="1:16" ht="13.2" customHeight="1" x14ac:dyDescent="0.25">
      <c r="A8" s="33">
        <v>6</v>
      </c>
      <c r="B8" s="34" t="s">
        <v>5256</v>
      </c>
      <c r="C8" s="35"/>
      <c r="D8" s="34" t="s">
        <v>5257</v>
      </c>
      <c r="E8" s="34" t="s">
        <v>5258</v>
      </c>
      <c r="F8" s="34" t="s">
        <v>5259</v>
      </c>
      <c r="G8" s="34" t="s">
        <v>5260</v>
      </c>
      <c r="H8" s="34" t="s">
        <v>5261</v>
      </c>
      <c r="I8" s="33" t="s">
        <v>84</v>
      </c>
      <c r="J8" s="34" t="s">
        <v>5262</v>
      </c>
      <c r="K8" s="35"/>
      <c r="L8" s="34" t="s">
        <v>5223</v>
      </c>
      <c r="M8" s="35" t="s">
        <v>29</v>
      </c>
      <c r="N8" s="34" t="s">
        <v>2759</v>
      </c>
      <c r="O8" s="35" t="s">
        <v>816</v>
      </c>
      <c r="P8" s="35" t="s">
        <v>669</v>
      </c>
    </row>
    <row r="9" spans="1:16" ht="13.2" customHeight="1" x14ac:dyDescent="0.25">
      <c r="A9" s="33">
        <v>7</v>
      </c>
      <c r="B9" s="34" t="s">
        <v>5263</v>
      </c>
      <c r="C9" s="35"/>
      <c r="D9" s="34" t="s">
        <v>5264</v>
      </c>
      <c r="E9" s="34" t="s">
        <v>5265</v>
      </c>
      <c r="F9" s="34" t="s">
        <v>5266</v>
      </c>
      <c r="G9" s="34" t="s">
        <v>5267</v>
      </c>
      <c r="H9" s="34" t="s">
        <v>5268</v>
      </c>
      <c r="I9" s="33" t="s">
        <v>96</v>
      </c>
      <c r="J9" s="34" t="s">
        <v>5269</v>
      </c>
      <c r="K9" s="35"/>
      <c r="L9" s="34" t="s">
        <v>5223</v>
      </c>
      <c r="M9" s="35" t="s">
        <v>29</v>
      </c>
      <c r="N9" s="34" t="s">
        <v>5270</v>
      </c>
      <c r="O9" s="35" t="s">
        <v>816</v>
      </c>
      <c r="P9" s="35" t="s">
        <v>669</v>
      </c>
    </row>
    <row r="10" spans="1:16" ht="13.2" customHeight="1" x14ac:dyDescent="0.25">
      <c r="A10" s="33">
        <v>8</v>
      </c>
      <c r="B10" s="34" t="s">
        <v>5271</v>
      </c>
      <c r="C10" s="35"/>
      <c r="D10" s="34" t="s">
        <v>5272</v>
      </c>
      <c r="E10" s="34" t="s">
        <v>5273</v>
      </c>
      <c r="F10" s="34" t="s">
        <v>5274</v>
      </c>
      <c r="G10" s="34" t="s">
        <v>5275</v>
      </c>
      <c r="H10" s="34" t="s">
        <v>5276</v>
      </c>
      <c r="I10" s="33" t="s">
        <v>113</v>
      </c>
      <c r="J10" s="34" t="s">
        <v>5277</v>
      </c>
      <c r="K10" s="35"/>
      <c r="L10" s="34" t="s">
        <v>5231</v>
      </c>
      <c r="M10" s="35" t="s">
        <v>29</v>
      </c>
      <c r="N10" s="34" t="s">
        <v>5278</v>
      </c>
      <c r="O10" s="35" t="s">
        <v>816</v>
      </c>
      <c r="P10" s="35" t="s">
        <v>669</v>
      </c>
    </row>
    <row r="11" spans="1:16" ht="13.2" customHeight="1" x14ac:dyDescent="0.25">
      <c r="A11" s="33">
        <v>9</v>
      </c>
      <c r="B11" s="34" t="s">
        <v>5279</v>
      </c>
      <c r="C11" s="35"/>
      <c r="D11" s="34" t="s">
        <v>5280</v>
      </c>
      <c r="E11" s="34" t="s">
        <v>5281</v>
      </c>
      <c r="F11" s="34" t="s">
        <v>5282</v>
      </c>
      <c r="G11" s="34" t="s">
        <v>5283</v>
      </c>
      <c r="H11" s="34" t="s">
        <v>5284</v>
      </c>
      <c r="I11" s="33" t="s">
        <v>90</v>
      </c>
      <c r="J11" s="34" t="s">
        <v>5285</v>
      </c>
      <c r="K11" s="35"/>
      <c r="L11" s="34" t="s">
        <v>5231</v>
      </c>
      <c r="M11" s="35" t="s">
        <v>29</v>
      </c>
      <c r="N11" s="34" t="s">
        <v>723</v>
      </c>
      <c r="O11" s="35" t="s">
        <v>816</v>
      </c>
      <c r="P11" s="35" t="s">
        <v>669</v>
      </c>
    </row>
    <row r="12" spans="1:16" ht="13.2" customHeight="1" x14ac:dyDescent="0.25">
      <c r="A12" s="33">
        <v>10</v>
      </c>
      <c r="B12" s="34" t="s">
        <v>5286</v>
      </c>
      <c r="C12" s="35"/>
      <c r="D12" s="34" t="s">
        <v>5287</v>
      </c>
      <c r="E12" s="34" t="s">
        <v>5288</v>
      </c>
      <c r="F12" s="34" t="s">
        <v>5289</v>
      </c>
      <c r="G12" s="34" t="s">
        <v>5290</v>
      </c>
      <c r="H12" s="34" t="s">
        <v>5291</v>
      </c>
      <c r="I12" s="33" t="s">
        <v>84</v>
      </c>
      <c r="J12" s="34" t="s">
        <v>5292</v>
      </c>
      <c r="K12" s="35"/>
      <c r="L12" s="34" t="s">
        <v>5223</v>
      </c>
      <c r="M12" s="35" t="s">
        <v>29</v>
      </c>
      <c r="N12" s="34" t="s">
        <v>5293</v>
      </c>
      <c r="O12" s="35" t="s">
        <v>816</v>
      </c>
      <c r="P12" s="35" t="s">
        <v>669</v>
      </c>
    </row>
    <row r="13" spans="1:16" ht="13.2" customHeight="1" x14ac:dyDescent="0.25">
      <c r="A13" s="33">
        <v>11</v>
      </c>
      <c r="B13" s="34" t="s">
        <v>5294</v>
      </c>
      <c r="C13" s="35"/>
      <c r="D13" s="34" t="s">
        <v>5295</v>
      </c>
      <c r="E13" s="34" t="s">
        <v>5296</v>
      </c>
      <c r="F13" s="34" t="s">
        <v>5297</v>
      </c>
      <c r="G13" s="34" t="s">
        <v>5298</v>
      </c>
      <c r="H13" s="34" t="s">
        <v>5299</v>
      </c>
      <c r="I13" s="33" t="s">
        <v>90</v>
      </c>
      <c r="J13" s="34" t="s">
        <v>5300</v>
      </c>
      <c r="K13" s="35"/>
      <c r="L13" s="34" t="s">
        <v>5223</v>
      </c>
      <c r="M13" s="35" t="s">
        <v>29</v>
      </c>
      <c r="N13" s="34" t="s">
        <v>735</v>
      </c>
      <c r="O13" s="35" t="s">
        <v>816</v>
      </c>
      <c r="P13" s="35" t="s">
        <v>669</v>
      </c>
    </row>
    <row r="14" spans="1:16" ht="13.2" customHeight="1" x14ac:dyDescent="0.25">
      <c r="A14" s="33">
        <v>12</v>
      </c>
      <c r="B14" s="34" t="s">
        <v>5301</v>
      </c>
      <c r="C14" s="35"/>
      <c r="D14" s="34" t="s">
        <v>5302</v>
      </c>
      <c r="E14" s="34" t="s">
        <v>5303</v>
      </c>
      <c r="F14" s="34" t="s">
        <v>5304</v>
      </c>
      <c r="G14" s="34" t="s">
        <v>5305</v>
      </c>
      <c r="H14" s="34" t="s">
        <v>5306</v>
      </c>
      <c r="I14" s="33" t="s">
        <v>96</v>
      </c>
      <c r="J14" s="34" t="s">
        <v>5307</v>
      </c>
      <c r="K14" s="35"/>
      <c r="L14" s="34" t="s">
        <v>5223</v>
      </c>
      <c r="M14" s="35" t="s">
        <v>29</v>
      </c>
      <c r="N14" s="34" t="s">
        <v>5308</v>
      </c>
      <c r="O14" s="35" t="s">
        <v>816</v>
      </c>
      <c r="P14" s="35" t="s">
        <v>669</v>
      </c>
    </row>
    <row r="15" spans="1:16" ht="13.2" customHeight="1" x14ac:dyDescent="0.25">
      <c r="A15" s="33">
        <v>13</v>
      </c>
      <c r="B15" s="34" t="s">
        <v>5309</v>
      </c>
      <c r="C15" s="35"/>
      <c r="D15" s="34" t="s">
        <v>5310</v>
      </c>
      <c r="E15" s="34" t="s">
        <v>520</v>
      </c>
      <c r="F15" s="34" t="s">
        <v>5311</v>
      </c>
      <c r="G15" s="34" t="s">
        <v>428</v>
      </c>
      <c r="H15" s="34" t="s">
        <v>5312</v>
      </c>
      <c r="I15" s="33" t="s">
        <v>96</v>
      </c>
      <c r="J15" s="34" t="s">
        <v>5313</v>
      </c>
      <c r="K15" s="35"/>
      <c r="L15" s="34" t="s">
        <v>5223</v>
      </c>
      <c r="M15" s="35" t="s">
        <v>29</v>
      </c>
      <c r="N15" s="34" t="s">
        <v>1771</v>
      </c>
      <c r="O15" s="35" t="s">
        <v>816</v>
      </c>
      <c r="P15" s="35" t="s">
        <v>669</v>
      </c>
    </row>
    <row r="16" spans="1:16" ht="13.2" customHeight="1" x14ac:dyDescent="0.25">
      <c r="A16" s="33">
        <v>14</v>
      </c>
      <c r="B16" s="34" t="s">
        <v>5314</v>
      </c>
      <c r="C16" s="35"/>
      <c r="D16" s="34" t="s">
        <v>803</v>
      </c>
      <c r="E16" s="34" t="s">
        <v>5315</v>
      </c>
      <c r="F16" s="34" t="s">
        <v>5316</v>
      </c>
      <c r="G16" s="34" t="s">
        <v>5317</v>
      </c>
      <c r="H16" s="34" t="s">
        <v>5318</v>
      </c>
      <c r="I16" s="33" t="s">
        <v>90</v>
      </c>
      <c r="J16" s="34" t="s">
        <v>5319</v>
      </c>
      <c r="K16" s="35"/>
      <c r="L16" s="34" t="s">
        <v>5320</v>
      </c>
      <c r="M16" s="35" t="s">
        <v>29</v>
      </c>
      <c r="N16" s="34" t="s">
        <v>5321</v>
      </c>
      <c r="O16" s="35" t="s">
        <v>816</v>
      </c>
      <c r="P16" s="35" t="s">
        <v>669</v>
      </c>
    </row>
    <row r="17" spans="1:16" ht="13.2" customHeight="1" x14ac:dyDescent="0.25">
      <c r="A17" s="33">
        <v>15</v>
      </c>
      <c r="B17" s="34" t="s">
        <v>5322</v>
      </c>
      <c r="C17" s="35"/>
      <c r="D17" s="34" t="s">
        <v>5323</v>
      </c>
      <c r="E17" s="34" t="s">
        <v>5324</v>
      </c>
      <c r="F17" s="34" t="s">
        <v>5325</v>
      </c>
      <c r="G17" s="34" t="s">
        <v>5326</v>
      </c>
      <c r="H17" s="34" t="s">
        <v>5327</v>
      </c>
      <c r="I17" s="33" t="s">
        <v>123</v>
      </c>
      <c r="J17" s="34" t="s">
        <v>5328</v>
      </c>
      <c r="K17" s="35"/>
      <c r="L17" s="34" t="s">
        <v>5320</v>
      </c>
      <c r="M17" s="35" t="s">
        <v>29</v>
      </c>
      <c r="N17" s="34" t="s">
        <v>5329</v>
      </c>
      <c r="O17" s="35" t="s">
        <v>816</v>
      </c>
      <c r="P17" s="35" t="s">
        <v>669</v>
      </c>
    </row>
    <row r="18" spans="1:16" ht="13.2" customHeight="1" x14ac:dyDescent="0.25">
      <c r="A18" s="33">
        <v>16</v>
      </c>
      <c r="B18" s="34" t="s">
        <v>5330</v>
      </c>
      <c r="C18" s="35"/>
      <c r="D18" s="34" t="s">
        <v>5235</v>
      </c>
      <c r="E18" s="34" t="s">
        <v>5331</v>
      </c>
      <c r="F18" s="34" t="s">
        <v>5236</v>
      </c>
      <c r="G18" s="34" t="s">
        <v>3301</v>
      </c>
      <c r="H18" s="34" t="s">
        <v>5332</v>
      </c>
      <c r="I18" s="33" t="s">
        <v>123</v>
      </c>
      <c r="J18" s="34" t="s">
        <v>5333</v>
      </c>
      <c r="K18" s="35"/>
      <c r="L18" s="34" t="s">
        <v>5231</v>
      </c>
      <c r="M18" s="35" t="s">
        <v>29</v>
      </c>
      <c r="N18" s="34" t="s">
        <v>2831</v>
      </c>
      <c r="O18" s="35" t="s">
        <v>816</v>
      </c>
      <c r="P18" s="35" t="s">
        <v>669</v>
      </c>
    </row>
    <row r="19" spans="1:16" ht="13.2" customHeight="1" x14ac:dyDescent="0.25">
      <c r="A19" s="33">
        <v>17</v>
      </c>
      <c r="B19" s="34" t="s">
        <v>5334</v>
      </c>
      <c r="C19" s="35"/>
      <c r="D19" s="34" t="s">
        <v>5335</v>
      </c>
      <c r="E19" s="34" t="s">
        <v>5336</v>
      </c>
      <c r="F19" s="34" t="s">
        <v>5337</v>
      </c>
      <c r="G19" s="34" t="s">
        <v>5338</v>
      </c>
      <c r="H19" s="34" t="s">
        <v>5339</v>
      </c>
      <c r="I19" s="33" t="s">
        <v>123</v>
      </c>
      <c r="J19" s="34" t="s">
        <v>5340</v>
      </c>
      <c r="K19" s="35"/>
      <c r="L19" s="34" t="s">
        <v>5231</v>
      </c>
      <c r="M19" s="35" t="s">
        <v>29</v>
      </c>
      <c r="N19" s="34" t="s">
        <v>2839</v>
      </c>
      <c r="O19" s="35" t="s">
        <v>816</v>
      </c>
      <c r="P19" s="35" t="s">
        <v>669</v>
      </c>
    </row>
    <row r="20" spans="1:16" ht="13.2" customHeight="1" x14ac:dyDescent="0.25">
      <c r="A20" s="33">
        <v>18</v>
      </c>
      <c r="B20" s="34" t="s">
        <v>5341</v>
      </c>
      <c r="C20" s="35"/>
      <c r="D20" s="34" t="s">
        <v>5342</v>
      </c>
      <c r="E20" s="34" t="s">
        <v>5343</v>
      </c>
      <c r="F20" s="34" t="s">
        <v>5344</v>
      </c>
      <c r="G20" s="34" t="s">
        <v>5345</v>
      </c>
      <c r="H20" s="34" t="s">
        <v>5346</v>
      </c>
      <c r="I20" s="33" t="s">
        <v>113</v>
      </c>
      <c r="J20" s="34" t="s">
        <v>5347</v>
      </c>
      <c r="K20" s="35"/>
      <c r="L20" s="34" t="s">
        <v>5223</v>
      </c>
      <c r="M20" s="35" t="s">
        <v>29</v>
      </c>
      <c r="N20" s="34" t="s">
        <v>5348</v>
      </c>
      <c r="O20" s="35" t="s">
        <v>816</v>
      </c>
      <c r="P20" s="35" t="s">
        <v>669</v>
      </c>
    </row>
    <row r="21" spans="1:16" ht="13.2" customHeight="1" x14ac:dyDescent="0.25">
      <c r="A21" s="33">
        <v>19</v>
      </c>
      <c r="B21" s="34" t="s">
        <v>5349</v>
      </c>
      <c r="C21" s="35"/>
      <c r="D21" s="34" t="s">
        <v>5235</v>
      </c>
      <c r="E21" s="34" t="s">
        <v>5331</v>
      </c>
      <c r="F21" s="34" t="s">
        <v>5236</v>
      </c>
      <c r="G21" s="34" t="s">
        <v>5350</v>
      </c>
      <c r="H21" s="34" t="s">
        <v>5332</v>
      </c>
      <c r="I21" s="33" t="s">
        <v>123</v>
      </c>
      <c r="J21" s="34" t="s">
        <v>5351</v>
      </c>
      <c r="K21" s="35"/>
      <c r="L21" s="34" t="s">
        <v>5231</v>
      </c>
      <c r="M21" s="35" t="s">
        <v>29</v>
      </c>
      <c r="N21" s="34" t="s">
        <v>783</v>
      </c>
      <c r="O21" s="35" t="s">
        <v>816</v>
      </c>
      <c r="P21" s="35" t="s">
        <v>669</v>
      </c>
    </row>
    <row r="22" spans="1:16" ht="13.2" customHeight="1" x14ac:dyDescent="0.25">
      <c r="A22" s="33">
        <v>20</v>
      </c>
      <c r="B22" s="34" t="s">
        <v>5352</v>
      </c>
      <c r="C22" s="35"/>
      <c r="D22" s="34" t="s">
        <v>5353</v>
      </c>
      <c r="E22" s="34" t="s">
        <v>5354</v>
      </c>
      <c r="F22" s="34" t="s">
        <v>5355</v>
      </c>
      <c r="G22" s="34" t="s">
        <v>5356</v>
      </c>
      <c r="H22" s="34" t="s">
        <v>5357</v>
      </c>
      <c r="I22" s="33" t="s">
        <v>96</v>
      </c>
      <c r="J22" s="34" t="s">
        <v>5358</v>
      </c>
      <c r="K22" s="35"/>
      <c r="L22" s="34" t="s">
        <v>5223</v>
      </c>
      <c r="M22" s="35" t="s">
        <v>29</v>
      </c>
      <c r="N22" s="34" t="s">
        <v>5359</v>
      </c>
      <c r="O22" s="35" t="s">
        <v>816</v>
      </c>
      <c r="P22" s="35" t="s">
        <v>669</v>
      </c>
    </row>
    <row r="23" spans="1:16" ht="13.2" customHeight="1" x14ac:dyDescent="0.25">
      <c r="A23" s="33">
        <v>21</v>
      </c>
      <c r="B23" s="34" t="s">
        <v>5360</v>
      </c>
      <c r="C23" s="35"/>
      <c r="D23" s="34" t="s">
        <v>5361</v>
      </c>
      <c r="E23" s="34" t="s">
        <v>5362</v>
      </c>
      <c r="F23" s="34" t="s">
        <v>5363</v>
      </c>
      <c r="G23" s="34" t="s">
        <v>5364</v>
      </c>
      <c r="H23" s="34" t="s">
        <v>5365</v>
      </c>
      <c r="I23" s="33" t="s">
        <v>84</v>
      </c>
      <c r="J23" s="34" t="s">
        <v>5366</v>
      </c>
      <c r="K23" s="35"/>
      <c r="L23" s="34" t="s">
        <v>5320</v>
      </c>
      <c r="M23" s="35" t="s">
        <v>29</v>
      </c>
      <c r="N23" s="34" t="s">
        <v>5367</v>
      </c>
      <c r="O23" s="35" t="s">
        <v>816</v>
      </c>
      <c r="P23" s="35" t="s">
        <v>669</v>
      </c>
    </row>
    <row r="24" spans="1:16" ht="13.2" customHeight="1" x14ac:dyDescent="0.25">
      <c r="A24" s="33">
        <v>22</v>
      </c>
      <c r="B24" s="34" t="s">
        <v>5368</v>
      </c>
      <c r="C24" s="35"/>
      <c r="D24" s="34" t="s">
        <v>5369</v>
      </c>
      <c r="E24" s="34" t="s">
        <v>5370</v>
      </c>
      <c r="F24" s="34" t="s">
        <v>5371</v>
      </c>
      <c r="G24" s="34" t="s">
        <v>5372</v>
      </c>
      <c r="H24" s="34" t="s">
        <v>5373</v>
      </c>
      <c r="I24" s="33" t="s">
        <v>84</v>
      </c>
      <c r="J24" s="34" t="s">
        <v>5374</v>
      </c>
      <c r="K24" s="35"/>
      <c r="L24" s="34" t="s">
        <v>5320</v>
      </c>
      <c r="M24" s="35" t="s">
        <v>29</v>
      </c>
      <c r="N24" s="34" t="s">
        <v>5375</v>
      </c>
      <c r="O24" s="35" t="s">
        <v>816</v>
      </c>
      <c r="P24" s="35" t="s">
        <v>669</v>
      </c>
    </row>
    <row r="25" spans="1:16" ht="13.2" customHeight="1" x14ac:dyDescent="0.25">
      <c r="A25" s="33">
        <v>23</v>
      </c>
      <c r="B25" s="34" t="s">
        <v>5376</v>
      </c>
      <c r="C25" s="35"/>
      <c r="D25" s="34" t="s">
        <v>5377</v>
      </c>
      <c r="E25" s="34" t="s">
        <v>5378</v>
      </c>
      <c r="F25" s="34" t="s">
        <v>5379</v>
      </c>
      <c r="G25" s="34" t="s">
        <v>5380</v>
      </c>
      <c r="H25" s="34" t="s">
        <v>5381</v>
      </c>
      <c r="I25" s="33" t="s">
        <v>96</v>
      </c>
      <c r="J25" s="34" t="s">
        <v>5382</v>
      </c>
      <c r="K25" s="35"/>
      <c r="L25" s="34" t="s">
        <v>5223</v>
      </c>
      <c r="M25" s="35" t="s">
        <v>29</v>
      </c>
      <c r="N25" s="34" t="s">
        <v>5383</v>
      </c>
      <c r="O25" s="35" t="s">
        <v>816</v>
      </c>
      <c r="P25" s="35" t="s">
        <v>669</v>
      </c>
    </row>
    <row r="26" spans="1:16" ht="13.2" customHeight="1" x14ac:dyDescent="0.25">
      <c r="A26" s="33">
        <v>24</v>
      </c>
      <c r="B26" s="34" t="s">
        <v>5384</v>
      </c>
      <c r="C26" s="35"/>
      <c r="D26" s="34" t="s">
        <v>5385</v>
      </c>
      <c r="E26" s="34" t="s">
        <v>2724</v>
      </c>
      <c r="F26" s="34" t="s">
        <v>5386</v>
      </c>
      <c r="G26" s="34" t="s">
        <v>5387</v>
      </c>
      <c r="H26" s="34" t="s">
        <v>5388</v>
      </c>
      <c r="I26" s="33" t="s">
        <v>90</v>
      </c>
      <c r="J26" s="34" t="s">
        <v>5389</v>
      </c>
      <c r="K26" s="35"/>
      <c r="L26" s="34" t="s">
        <v>5231</v>
      </c>
      <c r="M26" s="35" t="s">
        <v>29</v>
      </c>
      <c r="N26" s="34" t="s">
        <v>5390</v>
      </c>
      <c r="O26" s="35" t="s">
        <v>816</v>
      </c>
      <c r="P26" s="35" t="s">
        <v>669</v>
      </c>
    </row>
    <row r="27" spans="1:16" ht="13.2" customHeight="1" x14ac:dyDescent="0.25">
      <c r="A27" s="33">
        <v>25</v>
      </c>
      <c r="B27" s="34" t="s">
        <v>5391</v>
      </c>
      <c r="C27" s="35"/>
      <c r="D27" s="34" t="s">
        <v>2724</v>
      </c>
      <c r="E27" s="34" t="s">
        <v>5392</v>
      </c>
      <c r="F27" s="34" t="s">
        <v>2721</v>
      </c>
      <c r="G27" s="34" t="s">
        <v>5388</v>
      </c>
      <c r="H27" s="34" t="s">
        <v>5393</v>
      </c>
      <c r="I27" s="33" t="s">
        <v>84</v>
      </c>
      <c r="J27" s="34" t="s">
        <v>5394</v>
      </c>
      <c r="K27" s="35"/>
      <c r="L27" s="34" t="s">
        <v>5231</v>
      </c>
      <c r="M27" s="35" t="s">
        <v>29</v>
      </c>
      <c r="N27" s="34" t="s">
        <v>5395</v>
      </c>
      <c r="O27" s="35" t="s">
        <v>816</v>
      </c>
      <c r="P27" s="35" t="s">
        <v>669</v>
      </c>
    </row>
    <row r="28" spans="1:16" ht="13.2" customHeight="1" x14ac:dyDescent="0.25">
      <c r="A28" s="33">
        <v>26</v>
      </c>
      <c r="B28" s="34" t="s">
        <v>5396</v>
      </c>
      <c r="C28" s="35"/>
      <c r="D28" s="34" t="s">
        <v>5397</v>
      </c>
      <c r="E28" s="34" t="s">
        <v>5398</v>
      </c>
      <c r="F28" s="34" t="s">
        <v>5399</v>
      </c>
      <c r="G28" s="34" t="s">
        <v>5400</v>
      </c>
      <c r="H28" s="34" t="s">
        <v>5401</v>
      </c>
      <c r="I28" s="33" t="s">
        <v>96</v>
      </c>
      <c r="J28" s="34" t="s">
        <v>5402</v>
      </c>
      <c r="K28" s="35"/>
      <c r="L28" s="34" t="s">
        <v>5231</v>
      </c>
      <c r="M28" s="35" t="s">
        <v>29</v>
      </c>
      <c r="N28" s="34" t="s">
        <v>830</v>
      </c>
      <c r="O28" s="35" t="s">
        <v>816</v>
      </c>
      <c r="P28" s="35" t="s">
        <v>669</v>
      </c>
    </row>
    <row r="29" spans="1:16" ht="13.2" customHeight="1" x14ac:dyDescent="0.25">
      <c r="A29" s="33">
        <v>27</v>
      </c>
      <c r="B29" s="34" t="s">
        <v>5403</v>
      </c>
      <c r="C29" s="35"/>
      <c r="D29" s="34" t="s">
        <v>5404</v>
      </c>
      <c r="E29" s="34" t="s">
        <v>5405</v>
      </c>
      <c r="F29" s="34" t="s">
        <v>5406</v>
      </c>
      <c r="G29" s="34" t="s">
        <v>5407</v>
      </c>
      <c r="H29" s="34" t="s">
        <v>5408</v>
      </c>
      <c r="I29" s="33" t="s">
        <v>123</v>
      </c>
      <c r="J29" s="34" t="s">
        <v>5409</v>
      </c>
      <c r="K29" s="35"/>
      <c r="L29" s="34" t="s">
        <v>5223</v>
      </c>
      <c r="M29" s="35" t="s">
        <v>29</v>
      </c>
      <c r="N29" s="34" t="s">
        <v>837</v>
      </c>
      <c r="O29" s="35" t="s">
        <v>816</v>
      </c>
      <c r="P29" s="35" t="s">
        <v>669</v>
      </c>
    </row>
    <row r="30" spans="1:16" ht="13.2" customHeight="1" x14ac:dyDescent="0.25">
      <c r="A30" s="33">
        <v>28</v>
      </c>
      <c r="B30" s="34" t="s">
        <v>5410</v>
      </c>
      <c r="C30" s="35"/>
      <c r="D30" s="34" t="s">
        <v>5411</v>
      </c>
      <c r="E30" s="34" t="s">
        <v>5412</v>
      </c>
      <c r="F30" s="34" t="s">
        <v>5413</v>
      </c>
      <c r="G30" s="34" t="s">
        <v>5414</v>
      </c>
      <c r="H30" s="34" t="s">
        <v>5415</v>
      </c>
      <c r="I30" s="33" t="s">
        <v>96</v>
      </c>
      <c r="J30" s="34" t="s">
        <v>5416</v>
      </c>
      <c r="K30" s="35"/>
      <c r="L30" s="34" t="s">
        <v>5223</v>
      </c>
      <c r="M30" s="35" t="s">
        <v>29</v>
      </c>
      <c r="N30" s="34" t="s">
        <v>5417</v>
      </c>
      <c r="O30" s="35" t="s">
        <v>816</v>
      </c>
      <c r="P30" s="35" t="s">
        <v>669</v>
      </c>
    </row>
    <row r="31" spans="1:16" ht="13.2" customHeight="1" x14ac:dyDescent="0.25">
      <c r="A31" s="33">
        <v>29</v>
      </c>
      <c r="B31" s="34" t="s">
        <v>5418</v>
      </c>
      <c r="C31" s="35"/>
      <c r="D31" s="34" t="s">
        <v>5419</v>
      </c>
      <c r="E31" s="34" t="s">
        <v>5420</v>
      </c>
      <c r="F31" s="34" t="s">
        <v>5421</v>
      </c>
      <c r="G31" s="34" t="s">
        <v>5422</v>
      </c>
      <c r="H31" s="34" t="s">
        <v>5423</v>
      </c>
      <c r="I31" s="33" t="s">
        <v>84</v>
      </c>
      <c r="J31" s="34" t="s">
        <v>5424</v>
      </c>
      <c r="K31" s="35"/>
      <c r="L31" s="34" t="s">
        <v>5223</v>
      </c>
      <c r="M31" s="35" t="s">
        <v>29</v>
      </c>
      <c r="N31" s="34" t="s">
        <v>5425</v>
      </c>
      <c r="O31" s="35" t="s">
        <v>816</v>
      </c>
      <c r="P31" s="35" t="s">
        <v>669</v>
      </c>
    </row>
    <row r="32" spans="1:16" ht="13.2" customHeight="1" x14ac:dyDescent="0.25">
      <c r="A32" s="33">
        <v>30</v>
      </c>
      <c r="B32" s="34" t="s">
        <v>5426</v>
      </c>
      <c r="C32" s="35"/>
      <c r="D32" s="34" t="s">
        <v>5427</v>
      </c>
      <c r="E32" s="34" t="s">
        <v>5428</v>
      </c>
      <c r="F32" s="34" t="s">
        <v>5429</v>
      </c>
      <c r="G32" s="34" t="s">
        <v>5430</v>
      </c>
      <c r="H32" s="34" t="s">
        <v>5431</v>
      </c>
      <c r="I32" s="33" t="s">
        <v>84</v>
      </c>
      <c r="J32" s="34" t="s">
        <v>5432</v>
      </c>
      <c r="K32" s="35"/>
      <c r="L32" s="34" t="s">
        <v>5223</v>
      </c>
      <c r="M32" s="35" t="s">
        <v>29</v>
      </c>
      <c r="N32" s="34" t="s">
        <v>5433</v>
      </c>
      <c r="O32" s="35" t="s">
        <v>816</v>
      </c>
      <c r="P32" s="35" t="s">
        <v>669</v>
      </c>
    </row>
    <row r="33" spans="1:16" ht="13.2" customHeight="1" x14ac:dyDescent="0.25">
      <c r="A33" s="33">
        <v>31</v>
      </c>
      <c r="B33" s="34" t="s">
        <v>5434</v>
      </c>
      <c r="C33" s="35"/>
      <c r="D33" s="34" t="s">
        <v>5435</v>
      </c>
      <c r="E33" s="34" t="s">
        <v>5436</v>
      </c>
      <c r="F33" s="34" t="s">
        <v>5437</v>
      </c>
      <c r="G33" s="34" t="s">
        <v>5438</v>
      </c>
      <c r="H33" s="34" t="s">
        <v>5439</v>
      </c>
      <c r="I33" s="33" t="s">
        <v>113</v>
      </c>
      <c r="J33" s="34" t="s">
        <v>5440</v>
      </c>
      <c r="K33" s="35"/>
      <c r="L33" s="34" t="s">
        <v>5223</v>
      </c>
      <c r="M33" s="35" t="s">
        <v>29</v>
      </c>
      <c r="N33" s="34" t="s">
        <v>5441</v>
      </c>
      <c r="O33" s="35" t="s">
        <v>816</v>
      </c>
      <c r="P33" s="35" t="s">
        <v>669</v>
      </c>
    </row>
    <row r="34" spans="1:16" ht="13.2" customHeight="1" x14ac:dyDescent="0.25">
      <c r="A34" s="33">
        <v>32</v>
      </c>
      <c r="B34" s="34" t="s">
        <v>5442</v>
      </c>
      <c r="C34" s="35"/>
      <c r="D34" s="34" t="s">
        <v>5223</v>
      </c>
      <c r="E34" s="34" t="s">
        <v>5443</v>
      </c>
      <c r="F34" s="34" t="s">
        <v>5444</v>
      </c>
      <c r="G34" s="34" t="s">
        <v>5445</v>
      </c>
      <c r="H34" s="34" t="s">
        <v>5446</v>
      </c>
      <c r="I34" s="33" t="s">
        <v>84</v>
      </c>
      <c r="J34" s="34" t="s">
        <v>5447</v>
      </c>
      <c r="K34" s="35"/>
      <c r="L34" s="34" t="s">
        <v>5223</v>
      </c>
      <c r="M34" s="35" t="s">
        <v>29</v>
      </c>
      <c r="N34" s="34" t="s">
        <v>5448</v>
      </c>
      <c r="O34" s="35" t="s">
        <v>816</v>
      </c>
      <c r="P34" s="35" t="s">
        <v>669</v>
      </c>
    </row>
    <row r="35" spans="1:16" ht="13.2" customHeight="1" x14ac:dyDescent="0.25">
      <c r="A35" s="33">
        <v>33</v>
      </c>
      <c r="B35" s="34" t="s">
        <v>5449</v>
      </c>
      <c r="C35" s="35"/>
      <c r="D35" s="34" t="s">
        <v>5450</v>
      </c>
      <c r="E35" s="34" t="s">
        <v>5451</v>
      </c>
      <c r="F35" s="34" t="s">
        <v>5452</v>
      </c>
      <c r="G35" s="34" t="s">
        <v>5453</v>
      </c>
      <c r="H35" s="34" t="s">
        <v>5454</v>
      </c>
      <c r="I35" s="33" t="s">
        <v>123</v>
      </c>
      <c r="J35" s="34" t="s">
        <v>5455</v>
      </c>
      <c r="K35" s="35"/>
      <c r="L35" s="34" t="s">
        <v>5223</v>
      </c>
      <c r="M35" s="35" t="s">
        <v>29</v>
      </c>
      <c r="N35" s="34" t="s">
        <v>877</v>
      </c>
      <c r="O35" s="35" t="s">
        <v>816</v>
      </c>
      <c r="P35" s="35" t="s">
        <v>669</v>
      </c>
    </row>
    <row r="36" spans="1:16" ht="13.2" customHeight="1" x14ac:dyDescent="0.25">
      <c r="A36" s="33">
        <v>34</v>
      </c>
      <c r="B36" s="34" t="s">
        <v>5456</v>
      </c>
      <c r="C36" s="35"/>
      <c r="D36" s="34" t="s">
        <v>5457</v>
      </c>
      <c r="E36" s="34" t="s">
        <v>5458</v>
      </c>
      <c r="F36" s="34" t="s">
        <v>5459</v>
      </c>
      <c r="G36" s="34" t="s">
        <v>5460</v>
      </c>
      <c r="H36" s="34" t="s">
        <v>5461</v>
      </c>
      <c r="I36" s="33" t="s">
        <v>84</v>
      </c>
      <c r="J36" s="34" t="s">
        <v>5462</v>
      </c>
      <c r="K36" s="35"/>
      <c r="L36" s="34" t="s">
        <v>5463</v>
      </c>
      <c r="M36" s="35" t="s">
        <v>29</v>
      </c>
      <c r="N36" s="34" t="s">
        <v>5464</v>
      </c>
      <c r="O36" s="35" t="s">
        <v>816</v>
      </c>
      <c r="P36" s="35" t="s">
        <v>669</v>
      </c>
    </row>
    <row r="37" spans="1:16" ht="13.2" customHeight="1" x14ac:dyDescent="0.25">
      <c r="A37" s="33">
        <v>35</v>
      </c>
      <c r="B37" s="34" t="s">
        <v>5465</v>
      </c>
      <c r="C37" s="35"/>
      <c r="D37" s="34" t="s">
        <v>738</v>
      </c>
      <c r="E37" s="34" t="s">
        <v>5466</v>
      </c>
      <c r="F37" s="34" t="s">
        <v>5467</v>
      </c>
      <c r="G37" s="34" t="s">
        <v>5468</v>
      </c>
      <c r="H37" s="34" t="s">
        <v>622</v>
      </c>
      <c r="I37" s="33" t="s">
        <v>123</v>
      </c>
      <c r="J37" s="34" t="s">
        <v>5469</v>
      </c>
      <c r="K37" s="35"/>
      <c r="L37" s="34" t="s">
        <v>5223</v>
      </c>
      <c r="M37" s="35" t="s">
        <v>29</v>
      </c>
      <c r="N37" s="34" t="s">
        <v>5470</v>
      </c>
      <c r="O37" s="35" t="s">
        <v>816</v>
      </c>
      <c r="P37" s="35" t="s">
        <v>669</v>
      </c>
    </row>
    <row r="38" spans="1:16" ht="13.2" customHeight="1" x14ac:dyDescent="0.25">
      <c r="A38" s="33">
        <v>36</v>
      </c>
      <c r="B38" s="34" t="s">
        <v>5471</v>
      </c>
      <c r="C38" s="35"/>
      <c r="D38" s="34" t="s">
        <v>738</v>
      </c>
      <c r="E38" s="34" t="s">
        <v>5466</v>
      </c>
      <c r="F38" s="34" t="s">
        <v>5467</v>
      </c>
      <c r="G38" s="34" t="s">
        <v>5472</v>
      </c>
      <c r="H38" s="34" t="s">
        <v>621</v>
      </c>
      <c r="I38" s="33" t="s">
        <v>113</v>
      </c>
      <c r="J38" s="34" t="s">
        <v>5473</v>
      </c>
      <c r="K38" s="35"/>
      <c r="L38" s="34" t="s">
        <v>5223</v>
      </c>
      <c r="M38" s="35" t="s">
        <v>29</v>
      </c>
      <c r="N38" s="34" t="s">
        <v>901</v>
      </c>
      <c r="O38" s="35" t="s">
        <v>816</v>
      </c>
      <c r="P38" s="35" t="s">
        <v>669</v>
      </c>
    </row>
    <row r="39" spans="1:16" ht="13.2" customHeight="1" x14ac:dyDescent="0.25">
      <c r="A39" s="33">
        <v>37</v>
      </c>
      <c r="B39" s="34" t="s">
        <v>5474</v>
      </c>
      <c r="C39" s="35"/>
      <c r="D39" s="34" t="s">
        <v>2722</v>
      </c>
      <c r="E39" s="34" t="s">
        <v>5475</v>
      </c>
      <c r="F39" s="34" t="s">
        <v>5476</v>
      </c>
      <c r="G39" s="34" t="s">
        <v>2968</v>
      </c>
      <c r="H39" s="34" t="s">
        <v>5477</v>
      </c>
      <c r="I39" s="33" t="s">
        <v>113</v>
      </c>
      <c r="J39" s="34" t="s">
        <v>5478</v>
      </c>
      <c r="K39" s="35"/>
      <c r="L39" s="34" t="s">
        <v>5320</v>
      </c>
      <c r="M39" s="35" t="s">
        <v>29</v>
      </c>
      <c r="N39" s="34" t="s">
        <v>5479</v>
      </c>
      <c r="O39" s="35" t="s">
        <v>816</v>
      </c>
      <c r="P39" s="35" t="s">
        <v>669</v>
      </c>
    </row>
    <row r="40" spans="1:16" ht="13.2" customHeight="1" x14ac:dyDescent="0.25">
      <c r="A40" s="33">
        <v>38</v>
      </c>
      <c r="B40" s="34" t="s">
        <v>5480</v>
      </c>
      <c r="C40" s="35"/>
      <c r="D40" s="34" t="s">
        <v>5481</v>
      </c>
      <c r="E40" s="34" t="s">
        <v>5482</v>
      </c>
      <c r="F40" s="34" t="s">
        <v>5483</v>
      </c>
      <c r="G40" s="34" t="s">
        <v>5484</v>
      </c>
      <c r="H40" s="34" t="s">
        <v>5485</v>
      </c>
      <c r="I40" s="33" t="s">
        <v>123</v>
      </c>
      <c r="J40" s="34" t="s">
        <v>5486</v>
      </c>
      <c r="K40" s="35"/>
      <c r="L40" s="34" t="s">
        <v>5223</v>
      </c>
      <c r="M40" s="35" t="s">
        <v>29</v>
      </c>
      <c r="N40" s="34" t="s">
        <v>5487</v>
      </c>
      <c r="O40" s="35" t="s">
        <v>816</v>
      </c>
      <c r="P40" s="35" t="s">
        <v>669</v>
      </c>
    </row>
    <row r="41" spans="1:16" ht="13.2" customHeight="1" x14ac:dyDescent="0.25">
      <c r="A41" s="33">
        <v>39</v>
      </c>
      <c r="B41" s="34" t="s">
        <v>5488</v>
      </c>
      <c r="C41" s="35"/>
      <c r="D41" s="34" t="s">
        <v>2968</v>
      </c>
      <c r="E41" s="34" t="s">
        <v>3414</v>
      </c>
      <c r="F41" s="34" t="s">
        <v>5489</v>
      </c>
      <c r="G41" s="34" t="s">
        <v>5490</v>
      </c>
      <c r="H41" s="34" t="s">
        <v>5491</v>
      </c>
      <c r="I41" s="33" t="s">
        <v>96</v>
      </c>
      <c r="J41" s="34" t="s">
        <v>5492</v>
      </c>
      <c r="K41" s="35"/>
      <c r="L41" s="34" t="s">
        <v>5223</v>
      </c>
      <c r="M41" s="35" t="s">
        <v>29</v>
      </c>
      <c r="N41" s="34" t="s">
        <v>5493</v>
      </c>
      <c r="O41" s="35" t="s">
        <v>816</v>
      </c>
      <c r="P41" s="35" t="s">
        <v>669</v>
      </c>
    </row>
    <row r="42" spans="1:16" ht="13.2" customHeight="1" x14ac:dyDescent="0.25">
      <c r="A42" s="33">
        <v>40</v>
      </c>
      <c r="B42" s="34" t="s">
        <v>5494</v>
      </c>
      <c r="C42" s="35"/>
      <c r="D42" s="34" t="s">
        <v>5495</v>
      </c>
      <c r="E42" s="34" t="s">
        <v>5496</v>
      </c>
      <c r="F42" s="34" t="s">
        <v>5497</v>
      </c>
      <c r="G42" s="34" t="s">
        <v>5498</v>
      </c>
      <c r="H42" s="34" t="s">
        <v>5499</v>
      </c>
      <c r="I42" s="33" t="s">
        <v>90</v>
      </c>
      <c r="J42" s="34" t="s">
        <v>5500</v>
      </c>
      <c r="K42" s="35"/>
      <c r="L42" s="34" t="s">
        <v>5223</v>
      </c>
      <c r="M42" s="35" t="s">
        <v>29</v>
      </c>
      <c r="N42" s="34" t="s">
        <v>928</v>
      </c>
      <c r="O42" s="35" t="s">
        <v>816</v>
      </c>
      <c r="P42" s="35" t="s">
        <v>669</v>
      </c>
    </row>
    <row r="43" spans="1:16" ht="13.2" customHeight="1" x14ac:dyDescent="0.25">
      <c r="A43" s="33">
        <v>41</v>
      </c>
      <c r="B43" s="34" t="s">
        <v>5501</v>
      </c>
      <c r="C43" s="35"/>
      <c r="D43" s="34" t="s">
        <v>5502</v>
      </c>
      <c r="E43" s="34" t="s">
        <v>5503</v>
      </c>
      <c r="F43" s="34" t="s">
        <v>5504</v>
      </c>
      <c r="G43" s="34" t="s">
        <v>5505</v>
      </c>
      <c r="H43" s="34" t="s">
        <v>5506</v>
      </c>
      <c r="I43" s="33" t="s">
        <v>113</v>
      </c>
      <c r="J43" s="34" t="s">
        <v>5507</v>
      </c>
      <c r="K43" s="35"/>
      <c r="L43" s="34" t="s">
        <v>5223</v>
      </c>
      <c r="M43" s="35" t="s">
        <v>29</v>
      </c>
      <c r="N43" s="34" t="s">
        <v>5508</v>
      </c>
      <c r="O43" s="35" t="s">
        <v>816</v>
      </c>
      <c r="P43" s="35" t="s">
        <v>669</v>
      </c>
    </row>
    <row r="44" spans="1:16" ht="13.2" customHeight="1" x14ac:dyDescent="0.25">
      <c r="A44" s="33">
        <v>42</v>
      </c>
      <c r="B44" s="34" t="s">
        <v>5509</v>
      </c>
      <c r="C44" s="35"/>
      <c r="D44" s="34" t="s">
        <v>5510</v>
      </c>
      <c r="E44" s="34" t="s">
        <v>5511</v>
      </c>
      <c r="F44" s="34" t="s">
        <v>5512</v>
      </c>
      <c r="G44" s="34" t="s">
        <v>5513</v>
      </c>
      <c r="H44" s="34" t="s">
        <v>5514</v>
      </c>
      <c r="I44" s="33" t="s">
        <v>96</v>
      </c>
      <c r="J44" s="34" t="s">
        <v>5515</v>
      </c>
      <c r="K44" s="35"/>
      <c r="L44" s="34" t="s">
        <v>5223</v>
      </c>
      <c r="M44" s="35" t="s">
        <v>29</v>
      </c>
      <c r="N44" s="34" t="s">
        <v>5516</v>
      </c>
      <c r="O44" s="35" t="s">
        <v>816</v>
      </c>
      <c r="P44" s="35" t="s">
        <v>669</v>
      </c>
    </row>
    <row r="45" spans="1:16" ht="13.2" customHeight="1" x14ac:dyDescent="0.25">
      <c r="A45" s="33">
        <v>43</v>
      </c>
      <c r="B45" s="34" t="s">
        <v>5517</v>
      </c>
      <c r="C45" s="35"/>
      <c r="D45" s="34" t="s">
        <v>5510</v>
      </c>
      <c r="E45" s="34" t="s">
        <v>5512</v>
      </c>
      <c r="F45" s="34" t="s">
        <v>5518</v>
      </c>
      <c r="G45" s="34" t="s">
        <v>5513</v>
      </c>
      <c r="H45" s="34" t="s">
        <v>5514</v>
      </c>
      <c r="I45" s="33" t="s">
        <v>96</v>
      </c>
      <c r="J45" s="34" t="s">
        <v>5519</v>
      </c>
      <c r="K45" s="35"/>
      <c r="L45" s="34" t="s">
        <v>5223</v>
      </c>
      <c r="M45" s="35" t="s">
        <v>29</v>
      </c>
      <c r="N45" s="34" t="s">
        <v>953</v>
      </c>
      <c r="O45" s="35" t="s">
        <v>816</v>
      </c>
      <c r="P45" s="35" t="s">
        <v>669</v>
      </c>
    </row>
    <row r="46" spans="1:16" ht="13.2" customHeight="1" x14ac:dyDescent="0.25">
      <c r="A46" s="33">
        <v>44</v>
      </c>
      <c r="B46" s="34" t="s">
        <v>5520</v>
      </c>
      <c r="C46" s="35"/>
      <c r="D46" s="34" t="s">
        <v>5521</v>
      </c>
      <c r="E46" s="34" t="s">
        <v>5522</v>
      </c>
      <c r="F46" s="34" t="s">
        <v>5523</v>
      </c>
      <c r="G46" s="34" t="s">
        <v>5524</v>
      </c>
      <c r="H46" s="34" t="s">
        <v>5525</v>
      </c>
      <c r="I46" s="33" t="s">
        <v>90</v>
      </c>
      <c r="J46" s="34" t="s">
        <v>5526</v>
      </c>
      <c r="K46" s="35"/>
      <c r="L46" s="34" t="s">
        <v>5223</v>
      </c>
      <c r="M46" s="35" t="s">
        <v>29</v>
      </c>
      <c r="N46" s="34" t="s">
        <v>3048</v>
      </c>
      <c r="O46" s="35" t="s">
        <v>816</v>
      </c>
      <c r="P46" s="35" t="s">
        <v>669</v>
      </c>
    </row>
    <row r="47" spans="1:16" ht="13.2" customHeight="1" x14ac:dyDescent="0.25">
      <c r="A47" s="33">
        <v>45</v>
      </c>
      <c r="B47" s="34" t="s">
        <v>5527</v>
      </c>
      <c r="C47" s="35"/>
      <c r="D47" s="34" t="s">
        <v>1409</v>
      </c>
      <c r="E47" s="34" t="s">
        <v>5528</v>
      </c>
      <c r="F47" s="34" t="s">
        <v>5529</v>
      </c>
      <c r="G47" s="34" t="s">
        <v>5530</v>
      </c>
      <c r="H47" s="34" t="s">
        <v>5531</v>
      </c>
      <c r="I47" s="33" t="s">
        <v>84</v>
      </c>
      <c r="J47" s="34" t="s">
        <v>5532</v>
      </c>
      <c r="K47" s="35"/>
      <c r="L47" s="34" t="s">
        <v>5223</v>
      </c>
      <c r="M47" s="35" t="s">
        <v>29</v>
      </c>
      <c r="N47" s="34" t="s">
        <v>5533</v>
      </c>
      <c r="O47" s="35" t="s">
        <v>816</v>
      </c>
      <c r="P47" s="35" t="s">
        <v>669</v>
      </c>
    </row>
    <row r="48" spans="1:16" ht="13.2" customHeight="1" x14ac:dyDescent="0.25">
      <c r="A48" s="33">
        <v>46</v>
      </c>
      <c r="B48" s="34" t="s">
        <v>5534</v>
      </c>
      <c r="C48" s="35"/>
      <c r="D48" s="34" t="s">
        <v>5535</v>
      </c>
      <c r="E48" s="34" t="s">
        <v>5536</v>
      </c>
      <c r="F48" s="34" t="s">
        <v>5537</v>
      </c>
      <c r="G48" s="34" t="s">
        <v>5538</v>
      </c>
      <c r="H48" s="34" t="s">
        <v>5539</v>
      </c>
      <c r="I48" s="33" t="s">
        <v>96</v>
      </c>
      <c r="J48" s="34" t="s">
        <v>5540</v>
      </c>
      <c r="K48" s="35"/>
      <c r="L48" s="34" t="s">
        <v>5223</v>
      </c>
      <c r="M48" s="35" t="s">
        <v>29</v>
      </c>
      <c r="N48" s="34" t="s">
        <v>5541</v>
      </c>
      <c r="O48" s="35" t="s">
        <v>816</v>
      </c>
      <c r="P48" s="35" t="s">
        <v>669</v>
      </c>
    </row>
    <row r="49" spans="1:16" ht="13.2" customHeight="1" x14ac:dyDescent="0.25">
      <c r="A49" s="33">
        <v>47</v>
      </c>
      <c r="B49" s="34" t="s">
        <v>5542</v>
      </c>
      <c r="C49" s="35"/>
      <c r="D49" s="34" t="s">
        <v>5543</v>
      </c>
      <c r="E49" s="34" t="s">
        <v>5518</v>
      </c>
      <c r="F49" s="34" t="s">
        <v>5512</v>
      </c>
      <c r="G49" s="34" t="s">
        <v>5514</v>
      </c>
      <c r="H49" s="34" t="s">
        <v>5513</v>
      </c>
      <c r="I49" s="33" t="s">
        <v>90</v>
      </c>
      <c r="J49" s="34" t="s">
        <v>5544</v>
      </c>
      <c r="K49" s="35"/>
      <c r="L49" s="34" t="s">
        <v>5223</v>
      </c>
      <c r="M49" s="35" t="s">
        <v>29</v>
      </c>
      <c r="N49" s="34" t="s">
        <v>5545</v>
      </c>
      <c r="O49" s="35" t="s">
        <v>816</v>
      </c>
      <c r="P49" s="35" t="s">
        <v>669</v>
      </c>
    </row>
    <row r="50" spans="1:16" ht="13.2" customHeight="1" x14ac:dyDescent="0.25">
      <c r="A50" s="33">
        <v>48</v>
      </c>
      <c r="B50" s="34" t="s">
        <v>5546</v>
      </c>
      <c r="C50" s="35"/>
      <c r="D50" s="34" t="s">
        <v>5547</v>
      </c>
      <c r="E50" s="34" t="s">
        <v>5548</v>
      </c>
      <c r="F50" s="34" t="s">
        <v>5549</v>
      </c>
      <c r="G50" s="34" t="s">
        <v>5386</v>
      </c>
      <c r="H50" s="34" t="s">
        <v>2724</v>
      </c>
      <c r="I50" s="33" t="s">
        <v>84</v>
      </c>
      <c r="J50" s="34" t="s">
        <v>5550</v>
      </c>
      <c r="K50" s="35"/>
      <c r="L50" s="34" t="s">
        <v>5231</v>
      </c>
      <c r="M50" s="35" t="s">
        <v>29</v>
      </c>
      <c r="N50" s="34" t="s">
        <v>5551</v>
      </c>
      <c r="O50" s="35" t="s">
        <v>816</v>
      </c>
      <c r="P50" s="35" t="s">
        <v>669</v>
      </c>
    </row>
    <row r="51" spans="1:16" ht="13.2" customHeight="1" x14ac:dyDescent="0.25">
      <c r="A51" s="33">
        <v>49</v>
      </c>
      <c r="B51" s="34" t="s">
        <v>5552</v>
      </c>
      <c r="C51" s="35"/>
      <c r="D51" s="34" t="s">
        <v>5553</v>
      </c>
      <c r="E51" s="34" t="s">
        <v>5554</v>
      </c>
      <c r="F51" s="34" t="s">
        <v>5555</v>
      </c>
      <c r="G51" s="34" t="s">
        <v>5556</v>
      </c>
      <c r="H51" s="34" t="s">
        <v>5557</v>
      </c>
      <c r="I51" s="33" t="s">
        <v>113</v>
      </c>
      <c r="J51" s="34" t="s">
        <v>5558</v>
      </c>
      <c r="K51" s="35"/>
      <c r="L51" s="34" t="s">
        <v>5231</v>
      </c>
      <c r="M51" s="35" t="s">
        <v>29</v>
      </c>
      <c r="N51" s="34" t="s">
        <v>5559</v>
      </c>
      <c r="O51" s="35" t="s">
        <v>816</v>
      </c>
      <c r="P51" s="35" t="s">
        <v>669</v>
      </c>
    </row>
    <row r="52" spans="1:16" ht="13.2" customHeight="1" x14ac:dyDescent="0.25">
      <c r="A52" s="33">
        <v>50</v>
      </c>
      <c r="B52" s="34" t="s">
        <v>5560</v>
      </c>
      <c r="C52" s="35"/>
      <c r="D52" s="34" t="s">
        <v>1129</v>
      </c>
      <c r="E52" s="34" t="s">
        <v>5386</v>
      </c>
      <c r="F52" s="34" t="s">
        <v>2724</v>
      </c>
      <c r="G52" s="34" t="s">
        <v>2965</v>
      </c>
      <c r="H52" s="34" t="s">
        <v>5547</v>
      </c>
      <c r="I52" s="33" t="s">
        <v>90</v>
      </c>
      <c r="J52" s="34" t="s">
        <v>5561</v>
      </c>
      <c r="K52" s="35"/>
      <c r="L52" s="34" t="s">
        <v>5223</v>
      </c>
      <c r="M52" s="35" t="s">
        <v>29</v>
      </c>
      <c r="N52" s="34" t="s">
        <v>988</v>
      </c>
      <c r="O52" s="35" t="s">
        <v>816</v>
      </c>
      <c r="P52" s="35" t="s">
        <v>669</v>
      </c>
    </row>
    <row r="53" spans="1:16" ht="13.2" customHeight="1" x14ac:dyDescent="0.25">
      <c r="A53" s="33">
        <v>51</v>
      </c>
      <c r="B53" s="34" t="s">
        <v>5562</v>
      </c>
      <c r="C53" s="35"/>
      <c r="D53" s="34" t="s">
        <v>5563</v>
      </c>
      <c r="E53" s="34" t="s">
        <v>5564</v>
      </c>
      <c r="F53" s="34" t="s">
        <v>5565</v>
      </c>
      <c r="G53" s="34" t="s">
        <v>5566</v>
      </c>
      <c r="H53" s="34" t="s">
        <v>5567</v>
      </c>
      <c r="I53" s="33" t="s">
        <v>96</v>
      </c>
      <c r="J53" s="34" t="s">
        <v>5568</v>
      </c>
      <c r="K53" s="35"/>
      <c r="L53" s="34" t="s">
        <v>5223</v>
      </c>
      <c r="M53" s="35" t="s">
        <v>29</v>
      </c>
      <c r="N53" s="34" t="s">
        <v>5569</v>
      </c>
      <c r="O53" s="35" t="s">
        <v>816</v>
      </c>
      <c r="P53" s="35" t="s">
        <v>669</v>
      </c>
    </row>
    <row r="54" spans="1:16" ht="13.2" customHeight="1" x14ac:dyDescent="0.25">
      <c r="A54" s="33">
        <v>52</v>
      </c>
      <c r="B54" s="34" t="s">
        <v>5570</v>
      </c>
      <c r="C54" s="35"/>
      <c r="D54" s="34" t="s">
        <v>5571</v>
      </c>
      <c r="E54" s="34" t="s">
        <v>5572</v>
      </c>
      <c r="F54" s="34" t="s">
        <v>5573</v>
      </c>
      <c r="G54" s="34" t="s">
        <v>5574</v>
      </c>
      <c r="H54" s="34" t="s">
        <v>5575</v>
      </c>
      <c r="I54" s="33" t="s">
        <v>84</v>
      </c>
      <c r="J54" s="34" t="s">
        <v>5576</v>
      </c>
      <c r="K54" s="35"/>
      <c r="L54" s="34" t="s">
        <v>5223</v>
      </c>
      <c r="M54" s="35" t="s">
        <v>29</v>
      </c>
      <c r="N54" s="34" t="s">
        <v>5577</v>
      </c>
      <c r="O54" s="35" t="s">
        <v>816</v>
      </c>
      <c r="P54" s="35" t="s">
        <v>669</v>
      </c>
    </row>
    <row r="55" spans="1:16" ht="13.2" customHeight="1" x14ac:dyDescent="0.25">
      <c r="A55" s="33">
        <v>53</v>
      </c>
      <c r="B55" s="34" t="s">
        <v>5578</v>
      </c>
      <c r="C55" s="35"/>
      <c r="D55" s="34" t="s">
        <v>5579</v>
      </c>
      <c r="E55" s="34" t="s">
        <v>5580</v>
      </c>
      <c r="F55" s="34" t="s">
        <v>5581</v>
      </c>
      <c r="G55" s="34" t="s">
        <v>5582</v>
      </c>
      <c r="H55" s="34" t="s">
        <v>5583</v>
      </c>
      <c r="I55" s="33" t="s">
        <v>113</v>
      </c>
      <c r="J55" s="34" t="s">
        <v>5584</v>
      </c>
      <c r="K55" s="35"/>
      <c r="L55" s="34" t="s">
        <v>5223</v>
      </c>
      <c r="M55" s="35" t="s">
        <v>29</v>
      </c>
      <c r="N55" s="34" t="s">
        <v>5585</v>
      </c>
      <c r="O55" s="35" t="s">
        <v>816</v>
      </c>
      <c r="P55" s="35" t="s">
        <v>669</v>
      </c>
    </row>
    <row r="56" spans="1:16" ht="13.2" customHeight="1" x14ac:dyDescent="0.25">
      <c r="A56" s="33">
        <v>54</v>
      </c>
      <c r="B56" s="34" t="s">
        <v>5586</v>
      </c>
      <c r="C56" s="35"/>
      <c r="D56" s="34" t="s">
        <v>5587</v>
      </c>
      <c r="E56" s="34" t="s">
        <v>5588</v>
      </c>
      <c r="F56" s="34" t="s">
        <v>5589</v>
      </c>
      <c r="G56" s="34" t="s">
        <v>5590</v>
      </c>
      <c r="H56" s="34" t="s">
        <v>5591</v>
      </c>
      <c r="I56" s="33" t="s">
        <v>96</v>
      </c>
      <c r="J56" s="34" t="s">
        <v>5592</v>
      </c>
      <c r="K56" s="35"/>
      <c r="L56" s="34" t="s">
        <v>5223</v>
      </c>
      <c r="M56" s="35" t="s">
        <v>29</v>
      </c>
      <c r="N56" s="34" t="s">
        <v>5593</v>
      </c>
      <c r="O56" s="35" t="s">
        <v>816</v>
      </c>
      <c r="P56" s="35" t="s">
        <v>669</v>
      </c>
    </row>
    <row r="57" spans="1:16" ht="13.2" customHeight="1" x14ac:dyDescent="0.25">
      <c r="A57" s="33">
        <v>55</v>
      </c>
      <c r="B57" s="34" t="s">
        <v>5594</v>
      </c>
      <c r="C57" s="35"/>
      <c r="D57" s="34" t="s">
        <v>5595</v>
      </c>
      <c r="E57" s="34" t="s">
        <v>5596</v>
      </c>
      <c r="F57" s="34" t="s">
        <v>5597</v>
      </c>
      <c r="G57" s="34" t="s">
        <v>5598</v>
      </c>
      <c r="H57" s="34" t="s">
        <v>5599</v>
      </c>
      <c r="I57" s="33" t="s">
        <v>113</v>
      </c>
      <c r="J57" s="34" t="s">
        <v>5600</v>
      </c>
      <c r="K57" s="35"/>
      <c r="L57" s="34" t="s">
        <v>5223</v>
      </c>
      <c r="M57" s="35" t="s">
        <v>29</v>
      </c>
      <c r="N57" s="34" t="s">
        <v>5601</v>
      </c>
      <c r="O57" s="35" t="s">
        <v>816</v>
      </c>
      <c r="P57" s="35" t="s">
        <v>669</v>
      </c>
    </row>
    <row r="58" spans="1:16" ht="13.2" customHeight="1" x14ac:dyDescent="0.25">
      <c r="A58" s="33">
        <v>56</v>
      </c>
      <c r="B58" s="34" t="s">
        <v>5602</v>
      </c>
      <c r="C58" s="35"/>
      <c r="D58" s="34" t="s">
        <v>5603</v>
      </c>
      <c r="E58" s="34" t="s">
        <v>5604</v>
      </c>
      <c r="F58" s="34" t="s">
        <v>5605</v>
      </c>
      <c r="G58" s="34" t="s">
        <v>5606</v>
      </c>
      <c r="H58" s="34" t="s">
        <v>5607</v>
      </c>
      <c r="I58" s="33" t="s">
        <v>84</v>
      </c>
      <c r="J58" s="34" t="s">
        <v>5608</v>
      </c>
      <c r="K58" s="35"/>
      <c r="L58" s="34" t="s">
        <v>5223</v>
      </c>
      <c r="M58" s="35" t="s">
        <v>29</v>
      </c>
      <c r="N58" s="34" t="s">
        <v>1010</v>
      </c>
      <c r="O58" s="35" t="s">
        <v>816</v>
      </c>
      <c r="P58" s="35" t="s">
        <v>669</v>
      </c>
    </row>
    <row r="59" spans="1:16" ht="13.2" customHeight="1" x14ac:dyDescent="0.25">
      <c r="A59" s="33">
        <v>57</v>
      </c>
      <c r="B59" s="34" t="s">
        <v>5609</v>
      </c>
      <c r="C59" s="35"/>
      <c r="D59" s="34" t="s">
        <v>4208</v>
      </c>
      <c r="E59" s="34" t="s">
        <v>5610</v>
      </c>
      <c r="F59" s="34" t="s">
        <v>5611</v>
      </c>
      <c r="G59" s="34" t="s">
        <v>5612</v>
      </c>
      <c r="H59" s="34" t="s">
        <v>5613</v>
      </c>
      <c r="I59" s="33" t="s">
        <v>123</v>
      </c>
      <c r="J59" s="34" t="s">
        <v>5614</v>
      </c>
      <c r="K59" s="35"/>
      <c r="L59" s="34" t="s">
        <v>5223</v>
      </c>
      <c r="M59" s="35" t="s">
        <v>29</v>
      </c>
      <c r="N59" s="34" t="s">
        <v>5615</v>
      </c>
      <c r="O59" s="35" t="s">
        <v>816</v>
      </c>
      <c r="P59" s="35" t="s">
        <v>669</v>
      </c>
    </row>
    <row r="60" spans="1:16" ht="13.2" customHeight="1" x14ac:dyDescent="0.25">
      <c r="A60" s="33">
        <v>58</v>
      </c>
      <c r="B60" s="34" t="s">
        <v>5616</v>
      </c>
      <c r="C60" s="35"/>
      <c r="D60" s="34" t="s">
        <v>5617</v>
      </c>
      <c r="E60" s="34" t="s">
        <v>1407</v>
      </c>
      <c r="F60" s="34" t="s">
        <v>1406</v>
      </c>
      <c r="G60" s="34" t="s">
        <v>5618</v>
      </c>
      <c r="H60" s="34" t="s">
        <v>5619</v>
      </c>
      <c r="I60" s="33" t="s">
        <v>90</v>
      </c>
      <c r="J60" s="34" t="s">
        <v>5620</v>
      </c>
      <c r="K60" s="35"/>
      <c r="L60" s="34" t="s">
        <v>5223</v>
      </c>
      <c r="M60" s="35" t="s">
        <v>29</v>
      </c>
      <c r="N60" s="34" t="s">
        <v>5621</v>
      </c>
      <c r="O60" s="35" t="s">
        <v>816</v>
      </c>
      <c r="P60" s="35" t="s">
        <v>669</v>
      </c>
    </row>
    <row r="61" spans="1:16" ht="13.2" customHeight="1" x14ac:dyDescent="0.25">
      <c r="A61" s="33">
        <v>59</v>
      </c>
      <c r="B61" s="34" t="s">
        <v>5622</v>
      </c>
      <c r="C61" s="35"/>
      <c r="D61" s="34" t="s">
        <v>5623</v>
      </c>
      <c r="E61" s="34" t="s">
        <v>5624</v>
      </c>
      <c r="F61" s="34" t="s">
        <v>5625</v>
      </c>
      <c r="G61" s="34" t="s">
        <v>5626</v>
      </c>
      <c r="H61" s="34" t="s">
        <v>5627</v>
      </c>
      <c r="I61" s="33" t="s">
        <v>90</v>
      </c>
      <c r="J61" s="34" t="s">
        <v>5628</v>
      </c>
      <c r="K61" s="35"/>
      <c r="L61" s="34" t="s">
        <v>5223</v>
      </c>
      <c r="M61" s="35" t="s">
        <v>29</v>
      </c>
      <c r="N61" s="34" t="s">
        <v>5629</v>
      </c>
      <c r="O61" s="35" t="s">
        <v>816</v>
      </c>
      <c r="P61" s="35" t="s">
        <v>669</v>
      </c>
    </row>
    <row r="62" spans="1:16" ht="13.2" customHeight="1" x14ac:dyDescent="0.25">
      <c r="A62" s="33">
        <v>60</v>
      </c>
      <c r="B62" s="34" t="s">
        <v>5630</v>
      </c>
      <c r="C62" s="35"/>
      <c r="D62" s="34" t="s">
        <v>5631</v>
      </c>
      <c r="E62" s="34" t="s">
        <v>5632</v>
      </c>
      <c r="F62" s="34" t="s">
        <v>527</v>
      </c>
      <c r="G62" s="34" t="s">
        <v>5236</v>
      </c>
      <c r="H62" s="34" t="s">
        <v>5633</v>
      </c>
      <c r="I62" s="33" t="s">
        <v>90</v>
      </c>
      <c r="J62" s="34" t="s">
        <v>5634</v>
      </c>
      <c r="K62" s="35"/>
      <c r="L62" s="34" t="s">
        <v>5223</v>
      </c>
      <c r="M62" s="35" t="s">
        <v>29</v>
      </c>
      <c r="N62" s="34" t="s">
        <v>5635</v>
      </c>
      <c r="O62" s="35" t="s">
        <v>816</v>
      </c>
      <c r="P62" s="35" t="s">
        <v>669</v>
      </c>
    </row>
    <row r="63" spans="1:16" ht="13.2" customHeight="1" x14ac:dyDescent="0.25">
      <c r="A63" s="33">
        <v>61</v>
      </c>
      <c r="B63" s="34" t="s">
        <v>5636</v>
      </c>
      <c r="C63" s="35"/>
      <c r="D63" s="34" t="s">
        <v>5466</v>
      </c>
      <c r="E63" s="34" t="s">
        <v>5637</v>
      </c>
      <c r="F63" s="34" t="s">
        <v>5638</v>
      </c>
      <c r="G63" s="34" t="s">
        <v>5639</v>
      </c>
      <c r="H63" s="34" t="s">
        <v>5640</v>
      </c>
      <c r="I63" s="33" t="s">
        <v>84</v>
      </c>
      <c r="J63" s="34" t="s">
        <v>5641</v>
      </c>
      <c r="K63" s="35"/>
      <c r="L63" s="34" t="s">
        <v>5320</v>
      </c>
      <c r="M63" s="35" t="s">
        <v>29</v>
      </c>
      <c r="N63" s="34" t="s">
        <v>1050</v>
      </c>
      <c r="O63" s="35" t="s">
        <v>816</v>
      </c>
      <c r="P63" s="35" t="s">
        <v>669</v>
      </c>
    </row>
    <row r="64" spans="1:16" ht="13.2" customHeight="1" x14ac:dyDescent="0.25">
      <c r="A64" s="33">
        <v>62</v>
      </c>
      <c r="B64" s="34" t="s">
        <v>5642</v>
      </c>
      <c r="C64" s="35"/>
      <c r="D64" s="34" t="s">
        <v>5643</v>
      </c>
      <c r="E64" s="34" t="s">
        <v>5644</v>
      </c>
      <c r="F64" s="34" t="s">
        <v>5645</v>
      </c>
      <c r="G64" s="34" t="s">
        <v>5646</v>
      </c>
      <c r="H64" s="34" t="s">
        <v>5647</v>
      </c>
      <c r="I64" s="33" t="s">
        <v>84</v>
      </c>
      <c r="J64" s="34" t="s">
        <v>5648</v>
      </c>
      <c r="K64" s="35"/>
      <c r="L64" s="34" t="s">
        <v>5223</v>
      </c>
      <c r="M64" s="35" t="s">
        <v>29</v>
      </c>
      <c r="N64" s="34" t="s">
        <v>5649</v>
      </c>
      <c r="O64" s="35" t="s">
        <v>816</v>
      </c>
      <c r="P64" s="35" t="s">
        <v>669</v>
      </c>
    </row>
    <row r="65" spans="1:16" ht="13.2" customHeight="1" x14ac:dyDescent="0.25">
      <c r="A65" s="33">
        <v>63</v>
      </c>
      <c r="B65" s="34" t="s">
        <v>5650</v>
      </c>
      <c r="C65" s="35"/>
      <c r="D65" s="34" t="s">
        <v>5651</v>
      </c>
      <c r="E65" s="34" t="s">
        <v>5652</v>
      </c>
      <c r="F65" s="34" t="s">
        <v>5653</v>
      </c>
      <c r="G65" s="34" t="s">
        <v>5654</v>
      </c>
      <c r="H65" s="34" t="s">
        <v>5655</v>
      </c>
      <c r="I65" s="33" t="s">
        <v>84</v>
      </c>
      <c r="J65" s="34" t="s">
        <v>5656</v>
      </c>
      <c r="K65" s="35"/>
      <c r="L65" s="34" t="s">
        <v>5223</v>
      </c>
      <c r="M65" s="35" t="s">
        <v>29</v>
      </c>
      <c r="N65" s="34" t="s">
        <v>5657</v>
      </c>
      <c r="O65" s="35" t="s">
        <v>816</v>
      </c>
      <c r="P65" s="35" t="s">
        <v>669</v>
      </c>
    </row>
    <row r="66" spans="1:16" ht="13.2" customHeight="1" x14ac:dyDescent="0.25">
      <c r="A66" s="33">
        <v>64</v>
      </c>
      <c r="B66" s="34" t="s">
        <v>5658</v>
      </c>
      <c r="C66" s="35"/>
      <c r="D66" s="34" t="s">
        <v>5659</v>
      </c>
      <c r="E66" s="34" t="s">
        <v>5660</v>
      </c>
      <c r="F66" s="34" t="s">
        <v>5661</v>
      </c>
      <c r="G66" s="34" t="s">
        <v>5662</v>
      </c>
      <c r="H66" s="34" t="s">
        <v>5663</v>
      </c>
      <c r="I66" s="33" t="s">
        <v>96</v>
      </c>
      <c r="J66" s="34" t="s">
        <v>5664</v>
      </c>
      <c r="K66" s="35"/>
      <c r="L66" s="34" t="s">
        <v>5231</v>
      </c>
      <c r="M66" s="35" t="s">
        <v>29</v>
      </c>
      <c r="N66" s="34" t="s">
        <v>5665</v>
      </c>
      <c r="O66" s="35" t="s">
        <v>816</v>
      </c>
      <c r="P66" s="35" t="s">
        <v>669</v>
      </c>
    </row>
    <row r="67" spans="1:16" ht="13.2" customHeight="1" x14ac:dyDescent="0.25">
      <c r="A67" s="33">
        <v>65</v>
      </c>
      <c r="B67" s="34" t="s">
        <v>5666</v>
      </c>
      <c r="C67" s="35"/>
      <c r="D67" s="34" t="s">
        <v>5667</v>
      </c>
      <c r="E67" s="34" t="s">
        <v>5668</v>
      </c>
      <c r="F67" s="34" t="s">
        <v>5669</v>
      </c>
      <c r="G67" s="34" t="s">
        <v>5670</v>
      </c>
      <c r="H67" s="34" t="s">
        <v>5671</v>
      </c>
      <c r="I67" s="33" t="s">
        <v>90</v>
      </c>
      <c r="J67" s="34" t="s">
        <v>5672</v>
      </c>
      <c r="K67" s="35"/>
      <c r="L67" s="34" t="s">
        <v>5231</v>
      </c>
      <c r="M67" s="35" t="s">
        <v>29</v>
      </c>
      <c r="N67" s="34" t="s">
        <v>5673</v>
      </c>
      <c r="O67" s="35" t="s">
        <v>816</v>
      </c>
      <c r="P67" s="35" t="s">
        <v>669</v>
      </c>
    </row>
    <row r="68" spans="1:16" ht="13.2" customHeight="1" x14ac:dyDescent="0.25">
      <c r="A68" s="33">
        <v>66</v>
      </c>
      <c r="B68" s="34" t="s">
        <v>5674</v>
      </c>
      <c r="C68" s="35"/>
      <c r="D68" s="34" t="s">
        <v>2965</v>
      </c>
      <c r="E68" s="34" t="s">
        <v>2724</v>
      </c>
      <c r="F68" s="34" t="s">
        <v>5476</v>
      </c>
      <c r="G68" s="34" t="s">
        <v>5675</v>
      </c>
      <c r="H68" s="34" t="s">
        <v>2722</v>
      </c>
      <c r="I68" s="33" t="s">
        <v>96</v>
      </c>
      <c r="J68" s="34" t="s">
        <v>5676</v>
      </c>
      <c r="K68" s="35"/>
      <c r="L68" s="34" t="s">
        <v>5231</v>
      </c>
      <c r="M68" s="35" t="s">
        <v>29</v>
      </c>
      <c r="N68" s="34" t="s">
        <v>5677</v>
      </c>
      <c r="O68" s="35" t="s">
        <v>816</v>
      </c>
      <c r="P68" s="35" t="s">
        <v>669</v>
      </c>
    </row>
    <row r="69" spans="1:16" ht="13.2" customHeight="1" x14ac:dyDescent="0.25">
      <c r="A69" s="33">
        <v>67</v>
      </c>
      <c r="B69" s="34" t="s">
        <v>5678</v>
      </c>
      <c r="C69" s="35"/>
      <c r="D69" s="34" t="s">
        <v>5679</v>
      </c>
      <c r="E69" s="34" t="s">
        <v>5680</v>
      </c>
      <c r="F69" s="34" t="s">
        <v>5681</v>
      </c>
      <c r="G69" s="34" t="s">
        <v>5682</v>
      </c>
      <c r="H69" s="34" t="s">
        <v>5683</v>
      </c>
      <c r="I69" s="33" t="s">
        <v>123</v>
      </c>
      <c r="J69" s="34" t="s">
        <v>5684</v>
      </c>
      <c r="K69" s="35"/>
      <c r="L69" s="34" t="s">
        <v>5231</v>
      </c>
      <c r="M69" s="35" t="s">
        <v>29</v>
      </c>
      <c r="N69" s="34" t="s">
        <v>5685</v>
      </c>
      <c r="O69" s="35" t="s">
        <v>816</v>
      </c>
      <c r="P69" s="35" t="s">
        <v>669</v>
      </c>
    </row>
    <row r="70" spans="1:16" ht="13.2" customHeight="1" x14ac:dyDescent="0.25">
      <c r="A70" s="33">
        <v>68</v>
      </c>
      <c r="B70" s="34" t="s">
        <v>5686</v>
      </c>
      <c r="C70" s="35"/>
      <c r="D70" s="34" t="s">
        <v>5687</v>
      </c>
      <c r="E70" s="34" t="s">
        <v>5688</v>
      </c>
      <c r="F70" s="34" t="s">
        <v>5689</v>
      </c>
      <c r="G70" s="34" t="s">
        <v>5690</v>
      </c>
      <c r="H70" s="34" t="s">
        <v>5691</v>
      </c>
      <c r="I70" s="33" t="s">
        <v>90</v>
      </c>
      <c r="J70" s="34" t="s">
        <v>5692</v>
      </c>
      <c r="K70" s="35"/>
      <c r="L70" s="34" t="s">
        <v>5231</v>
      </c>
      <c r="M70" s="35" t="s">
        <v>29</v>
      </c>
      <c r="N70" s="34" t="s">
        <v>5693</v>
      </c>
      <c r="O70" s="35" t="s">
        <v>816</v>
      </c>
      <c r="P70" s="35" t="s">
        <v>669</v>
      </c>
    </row>
    <row r="71" spans="1:16" ht="13.2" customHeight="1" x14ac:dyDescent="0.25">
      <c r="A71" s="33">
        <v>69</v>
      </c>
      <c r="B71" s="34" t="s">
        <v>5694</v>
      </c>
      <c r="C71" s="35"/>
      <c r="D71" s="34" t="s">
        <v>5695</v>
      </c>
      <c r="E71" s="34" t="s">
        <v>5696</v>
      </c>
      <c r="F71" s="34" t="s">
        <v>5697</v>
      </c>
      <c r="G71" s="34" t="s">
        <v>5698</v>
      </c>
      <c r="H71" s="34" t="s">
        <v>5699</v>
      </c>
      <c r="I71" s="33" t="s">
        <v>113</v>
      </c>
      <c r="J71" s="34" t="s">
        <v>5700</v>
      </c>
      <c r="K71" s="35"/>
      <c r="L71" s="34" t="s">
        <v>5231</v>
      </c>
      <c r="M71" s="35" t="s">
        <v>29</v>
      </c>
      <c r="N71" s="34" t="s">
        <v>5701</v>
      </c>
      <c r="O71" s="35" t="s">
        <v>816</v>
      </c>
      <c r="P71" s="35" t="s">
        <v>669</v>
      </c>
    </row>
    <row r="72" spans="1:16" ht="13.2" customHeight="1" x14ac:dyDescent="0.25">
      <c r="A72" s="33">
        <v>70</v>
      </c>
      <c r="B72" s="34" t="s">
        <v>5702</v>
      </c>
      <c r="C72" s="35"/>
      <c r="D72" s="34" t="s">
        <v>5703</v>
      </c>
      <c r="E72" s="34" t="s">
        <v>5704</v>
      </c>
      <c r="F72" s="34" t="s">
        <v>5705</v>
      </c>
      <c r="G72" s="34" t="s">
        <v>5706</v>
      </c>
      <c r="H72" s="34" t="s">
        <v>5707</v>
      </c>
      <c r="I72" s="33" t="s">
        <v>113</v>
      </c>
      <c r="J72" s="34" t="s">
        <v>5708</v>
      </c>
      <c r="K72" s="35"/>
      <c r="L72" s="34" t="s">
        <v>5231</v>
      </c>
      <c r="M72" s="35" t="s">
        <v>29</v>
      </c>
      <c r="N72" s="34" t="s">
        <v>5709</v>
      </c>
      <c r="O72" s="35" t="s">
        <v>816</v>
      </c>
      <c r="P72" s="35" t="s">
        <v>669</v>
      </c>
    </row>
    <row r="73" spans="1:16" ht="13.2" customHeight="1" x14ac:dyDescent="0.25">
      <c r="A73" s="33">
        <v>71</v>
      </c>
      <c r="B73" s="34" t="s">
        <v>5710</v>
      </c>
      <c r="C73" s="35"/>
      <c r="D73" s="34" t="s">
        <v>5711</v>
      </c>
      <c r="E73" s="34" t="s">
        <v>5712</v>
      </c>
      <c r="F73" s="34" t="s">
        <v>5713</v>
      </c>
      <c r="G73" s="34" t="s">
        <v>5714</v>
      </c>
      <c r="H73" s="34" t="s">
        <v>5715</v>
      </c>
      <c r="I73" s="33" t="s">
        <v>113</v>
      </c>
      <c r="J73" s="34" t="s">
        <v>5716</v>
      </c>
      <c r="K73" s="35"/>
      <c r="L73" s="34" t="s">
        <v>5231</v>
      </c>
      <c r="M73" s="35" t="s">
        <v>29</v>
      </c>
      <c r="N73" s="34" t="s">
        <v>5717</v>
      </c>
      <c r="O73" s="35" t="s">
        <v>816</v>
      </c>
      <c r="P73" s="35" t="s">
        <v>669</v>
      </c>
    </row>
    <row r="74" spans="1:16" ht="13.2" customHeight="1" x14ac:dyDescent="0.25">
      <c r="A74" s="33">
        <v>72</v>
      </c>
      <c r="B74" s="34" t="s">
        <v>5718</v>
      </c>
      <c r="C74" s="35"/>
      <c r="D74" s="34" t="s">
        <v>5719</v>
      </c>
      <c r="E74" s="34" t="s">
        <v>5720</v>
      </c>
      <c r="F74" s="34" t="s">
        <v>5721</v>
      </c>
      <c r="G74" s="34" t="s">
        <v>5722</v>
      </c>
      <c r="H74" s="34" t="s">
        <v>5723</v>
      </c>
      <c r="I74" s="33" t="s">
        <v>84</v>
      </c>
      <c r="J74" s="34" t="s">
        <v>5724</v>
      </c>
      <c r="K74" s="35"/>
      <c r="L74" s="34" t="s">
        <v>5223</v>
      </c>
      <c r="M74" s="35" t="s">
        <v>29</v>
      </c>
      <c r="N74" s="34" t="s">
        <v>5725</v>
      </c>
      <c r="O74" s="35" t="s">
        <v>816</v>
      </c>
      <c r="P74" s="35" t="s">
        <v>669</v>
      </c>
    </row>
    <row r="75" spans="1:16" ht="13.2" customHeight="1" x14ac:dyDescent="0.25">
      <c r="A75" s="33">
        <v>73</v>
      </c>
      <c r="B75" s="34" t="s">
        <v>5726</v>
      </c>
      <c r="C75" s="35"/>
      <c r="D75" s="34" t="s">
        <v>904</v>
      </c>
      <c r="E75" s="34" t="s">
        <v>795</v>
      </c>
      <c r="F75" s="34" t="s">
        <v>4788</v>
      </c>
      <c r="G75" s="34" t="s">
        <v>5727</v>
      </c>
      <c r="H75" s="34" t="s">
        <v>5728</v>
      </c>
      <c r="I75" s="33" t="s">
        <v>96</v>
      </c>
      <c r="J75" s="34" t="s">
        <v>5729</v>
      </c>
      <c r="K75" s="35"/>
      <c r="L75" s="34" t="s">
        <v>5223</v>
      </c>
      <c r="M75" s="35" t="s">
        <v>29</v>
      </c>
      <c r="N75" s="34" t="s">
        <v>5730</v>
      </c>
      <c r="O75" s="35" t="s">
        <v>816</v>
      </c>
      <c r="P75" s="35" t="s">
        <v>669</v>
      </c>
    </row>
    <row r="76" spans="1:16" ht="13.2" customHeight="1" x14ac:dyDescent="0.25">
      <c r="A76" s="33">
        <v>74</v>
      </c>
      <c r="B76" s="34" t="s">
        <v>5731</v>
      </c>
      <c r="C76" s="35"/>
      <c r="D76" s="34" t="s">
        <v>5732</v>
      </c>
      <c r="E76" s="34" t="s">
        <v>5733</v>
      </c>
      <c r="F76" s="34" t="s">
        <v>2904</v>
      </c>
      <c r="G76" s="34" t="s">
        <v>5734</v>
      </c>
      <c r="H76" s="34" t="s">
        <v>5735</v>
      </c>
      <c r="I76" s="33" t="s">
        <v>96</v>
      </c>
      <c r="J76" s="34" t="s">
        <v>5736</v>
      </c>
      <c r="K76" s="35"/>
      <c r="L76" s="34" t="s">
        <v>5223</v>
      </c>
      <c r="M76" s="35" t="s">
        <v>29</v>
      </c>
      <c r="N76" s="34" t="s">
        <v>5737</v>
      </c>
      <c r="O76" s="35" t="s">
        <v>816</v>
      </c>
      <c r="P76" s="35" t="s">
        <v>669</v>
      </c>
    </row>
    <row r="77" spans="1:16" ht="13.2" customHeight="1" x14ac:dyDescent="0.25">
      <c r="A77" s="33">
        <v>75</v>
      </c>
      <c r="B77" s="34" t="s">
        <v>5738</v>
      </c>
      <c r="C77" s="35"/>
      <c r="D77" s="34" t="s">
        <v>5739</v>
      </c>
      <c r="E77" s="34" t="s">
        <v>5740</v>
      </c>
      <c r="F77" s="34" t="s">
        <v>5741</v>
      </c>
      <c r="G77" s="34" t="s">
        <v>5742</v>
      </c>
      <c r="H77" s="34" t="s">
        <v>5743</v>
      </c>
      <c r="I77" s="33" t="s">
        <v>96</v>
      </c>
      <c r="J77" s="34" t="s">
        <v>5744</v>
      </c>
      <c r="K77" s="35"/>
      <c r="L77" s="34" t="s">
        <v>5231</v>
      </c>
      <c r="M77" s="35" t="s">
        <v>29</v>
      </c>
      <c r="N77" s="34" t="s">
        <v>5745</v>
      </c>
      <c r="O77" s="35" t="s">
        <v>816</v>
      </c>
      <c r="P77" s="35" t="s">
        <v>1055</v>
      </c>
    </row>
    <row r="78" spans="1:16" ht="13.2" customHeight="1" x14ac:dyDescent="0.25">
      <c r="A78" s="33">
        <v>76</v>
      </c>
      <c r="B78" s="34" t="s">
        <v>5746</v>
      </c>
      <c r="C78" s="35"/>
      <c r="D78" s="34" t="s">
        <v>5747</v>
      </c>
      <c r="E78" s="34" t="s">
        <v>5748</v>
      </c>
      <c r="F78" s="34" t="s">
        <v>5749</v>
      </c>
      <c r="G78" s="34" t="s">
        <v>5750</v>
      </c>
      <c r="H78" s="34" t="s">
        <v>5751</v>
      </c>
      <c r="I78" s="33" t="s">
        <v>96</v>
      </c>
      <c r="J78" s="34" t="s">
        <v>5752</v>
      </c>
      <c r="K78" s="35"/>
      <c r="L78" s="34" t="s">
        <v>5231</v>
      </c>
      <c r="M78" s="35" t="s">
        <v>29</v>
      </c>
      <c r="N78" s="34" t="s">
        <v>5753</v>
      </c>
      <c r="O78" s="35" t="s">
        <v>816</v>
      </c>
      <c r="P78" s="35" t="s">
        <v>1055</v>
      </c>
    </row>
    <row r="79" spans="1:16" ht="13.2" customHeight="1" x14ac:dyDescent="0.25">
      <c r="A79" s="33">
        <v>77</v>
      </c>
      <c r="B79" s="34" t="s">
        <v>5754</v>
      </c>
      <c r="C79" s="35"/>
      <c r="D79" s="34" t="s">
        <v>5755</v>
      </c>
      <c r="E79" s="34" t="s">
        <v>5756</v>
      </c>
      <c r="F79" s="34" t="s">
        <v>5757</v>
      </c>
      <c r="G79" s="34" t="s">
        <v>5758</v>
      </c>
      <c r="H79" s="34" t="s">
        <v>5759</v>
      </c>
      <c r="I79" s="33" t="s">
        <v>90</v>
      </c>
      <c r="J79" s="34" t="s">
        <v>5760</v>
      </c>
      <c r="K79" s="35"/>
      <c r="L79" s="34" t="s">
        <v>5231</v>
      </c>
      <c r="M79" s="35" t="s">
        <v>29</v>
      </c>
      <c r="N79" s="34" t="s">
        <v>5761</v>
      </c>
      <c r="O79" s="35" t="s">
        <v>816</v>
      </c>
      <c r="P79" s="35" t="s">
        <v>1055</v>
      </c>
    </row>
    <row r="80" spans="1:16" ht="13.2" customHeight="1" x14ac:dyDescent="0.25">
      <c r="A80" s="33">
        <v>78</v>
      </c>
      <c r="B80" s="34" t="s">
        <v>5762</v>
      </c>
      <c r="C80" s="35"/>
      <c r="D80" s="34" t="s">
        <v>5763</v>
      </c>
      <c r="E80" s="34" t="s">
        <v>5764</v>
      </c>
      <c r="F80" s="34" t="s">
        <v>5765</v>
      </c>
      <c r="G80" s="34" t="s">
        <v>5766</v>
      </c>
      <c r="H80" s="34" t="s">
        <v>5767</v>
      </c>
      <c r="I80" s="33" t="s">
        <v>96</v>
      </c>
      <c r="J80" s="34" t="s">
        <v>5768</v>
      </c>
      <c r="K80" s="35"/>
      <c r="L80" s="34" t="s">
        <v>5231</v>
      </c>
      <c r="M80" s="35" t="s">
        <v>29</v>
      </c>
      <c r="N80" s="34" t="s">
        <v>5769</v>
      </c>
      <c r="O80" s="35" t="s">
        <v>816</v>
      </c>
      <c r="P80" s="35" t="s">
        <v>1055</v>
      </c>
    </row>
    <row r="81" spans="1:16" ht="13.2" customHeight="1" x14ac:dyDescent="0.25">
      <c r="A81" s="33">
        <v>79</v>
      </c>
      <c r="B81" s="34" t="s">
        <v>5770</v>
      </c>
      <c r="C81" s="35"/>
      <c r="D81" s="34" t="s">
        <v>5771</v>
      </c>
      <c r="E81" s="34" t="s">
        <v>5772</v>
      </c>
      <c r="F81" s="34" t="s">
        <v>5773</v>
      </c>
      <c r="G81" s="34" t="s">
        <v>5774</v>
      </c>
      <c r="H81" s="34" t="s">
        <v>5775</v>
      </c>
      <c r="I81" s="33" t="s">
        <v>96</v>
      </c>
      <c r="J81" s="34" t="s">
        <v>5776</v>
      </c>
      <c r="K81" s="35"/>
      <c r="L81" s="34" t="s">
        <v>5320</v>
      </c>
      <c r="M81" s="35" t="s">
        <v>29</v>
      </c>
      <c r="N81" s="34" t="s">
        <v>5777</v>
      </c>
      <c r="O81" s="35" t="s">
        <v>816</v>
      </c>
      <c r="P81" s="35" t="s">
        <v>1055</v>
      </c>
    </row>
    <row r="82" spans="1:16" ht="13.2" customHeight="1" x14ac:dyDescent="0.25">
      <c r="A82" s="33">
        <v>80</v>
      </c>
      <c r="B82" s="34" t="s">
        <v>5778</v>
      </c>
      <c r="C82" s="35"/>
      <c r="D82" s="34" t="s">
        <v>5779</v>
      </c>
      <c r="E82" s="34" t="s">
        <v>5780</v>
      </c>
      <c r="F82" s="34" t="s">
        <v>5781</v>
      </c>
      <c r="G82" s="34" t="s">
        <v>5782</v>
      </c>
      <c r="H82" s="34" t="s">
        <v>5783</v>
      </c>
      <c r="I82" s="33" t="s">
        <v>90</v>
      </c>
      <c r="J82" s="34" t="s">
        <v>5784</v>
      </c>
      <c r="K82" s="35"/>
      <c r="L82" s="34" t="s">
        <v>5320</v>
      </c>
      <c r="M82" s="35" t="s">
        <v>29</v>
      </c>
      <c r="N82" s="34" t="s">
        <v>5785</v>
      </c>
      <c r="O82" s="35" t="s">
        <v>816</v>
      </c>
      <c r="P82" s="35" t="s">
        <v>1055</v>
      </c>
    </row>
    <row r="83" spans="1:16" ht="13.2" customHeight="1" x14ac:dyDescent="0.25">
      <c r="A83" s="33">
        <v>81</v>
      </c>
      <c r="B83" s="34" t="s">
        <v>5786</v>
      </c>
      <c r="C83" s="35"/>
      <c r="D83" s="34" t="s">
        <v>5787</v>
      </c>
      <c r="E83" s="34" t="s">
        <v>5788</v>
      </c>
      <c r="F83" s="34" t="s">
        <v>5789</v>
      </c>
      <c r="G83" s="34" t="s">
        <v>5790</v>
      </c>
      <c r="H83" s="34" t="s">
        <v>5791</v>
      </c>
      <c r="I83" s="33" t="s">
        <v>90</v>
      </c>
      <c r="J83" s="34" t="s">
        <v>5792</v>
      </c>
      <c r="K83" s="35"/>
      <c r="L83" s="34" t="s">
        <v>5320</v>
      </c>
      <c r="M83" s="35" t="s">
        <v>29</v>
      </c>
      <c r="N83" s="34" t="s">
        <v>5793</v>
      </c>
      <c r="O83" s="35" t="s">
        <v>816</v>
      </c>
      <c r="P83" s="35" t="s">
        <v>1055</v>
      </c>
    </row>
    <row r="84" spans="1:16" ht="13.2" customHeight="1" x14ac:dyDescent="0.25">
      <c r="A84" s="33">
        <v>82</v>
      </c>
      <c r="B84" s="34" t="s">
        <v>5794</v>
      </c>
      <c r="C84" s="35"/>
      <c r="D84" s="34" t="s">
        <v>5795</v>
      </c>
      <c r="E84" s="34" t="s">
        <v>5796</v>
      </c>
      <c r="F84" s="34" t="s">
        <v>5797</v>
      </c>
      <c r="G84" s="34" t="s">
        <v>5798</v>
      </c>
      <c r="H84" s="34" t="s">
        <v>5799</v>
      </c>
      <c r="I84" s="33" t="s">
        <v>96</v>
      </c>
      <c r="J84" s="34" t="s">
        <v>5800</v>
      </c>
      <c r="K84" s="35"/>
      <c r="L84" s="34" t="s">
        <v>5320</v>
      </c>
      <c r="M84" s="35" t="s">
        <v>29</v>
      </c>
      <c r="N84" s="34" t="s">
        <v>5801</v>
      </c>
      <c r="O84" s="35" t="s">
        <v>816</v>
      </c>
      <c r="P84" s="35" t="s">
        <v>1055</v>
      </c>
    </row>
    <row r="85" spans="1:16" ht="13.2" customHeight="1" x14ac:dyDescent="0.25">
      <c r="A85" s="33">
        <v>83</v>
      </c>
      <c r="B85" s="34" t="s">
        <v>5802</v>
      </c>
      <c r="C85" s="35"/>
      <c r="D85" s="34" t="s">
        <v>5803</v>
      </c>
      <c r="E85" s="34" t="s">
        <v>5804</v>
      </c>
      <c r="F85" s="34" t="s">
        <v>5805</v>
      </c>
      <c r="G85" s="34" t="s">
        <v>5806</v>
      </c>
      <c r="H85" s="34" t="s">
        <v>5807</v>
      </c>
      <c r="I85" s="33" t="s">
        <v>96</v>
      </c>
      <c r="J85" s="34" t="s">
        <v>5808</v>
      </c>
      <c r="K85" s="35"/>
      <c r="L85" s="34" t="s">
        <v>5223</v>
      </c>
      <c r="M85" s="35" t="s">
        <v>29</v>
      </c>
      <c r="N85" s="34" t="s">
        <v>5809</v>
      </c>
      <c r="O85" s="35" t="s">
        <v>816</v>
      </c>
      <c r="P85" s="35" t="s">
        <v>1055</v>
      </c>
    </row>
    <row r="86" spans="1:16" ht="13.2" customHeight="1" x14ac:dyDescent="0.25">
      <c r="A86" s="33">
        <v>84</v>
      </c>
      <c r="B86" s="34" t="s">
        <v>5810</v>
      </c>
      <c r="C86" s="35"/>
      <c r="D86" s="34" t="s">
        <v>5811</v>
      </c>
      <c r="E86" s="34" t="s">
        <v>5812</v>
      </c>
      <c r="F86" s="34" t="s">
        <v>5813</v>
      </c>
      <c r="G86" s="34" t="s">
        <v>5814</v>
      </c>
      <c r="H86" s="34" t="s">
        <v>5815</v>
      </c>
      <c r="I86" s="33" t="s">
        <v>90</v>
      </c>
      <c r="J86" s="34" t="s">
        <v>5816</v>
      </c>
      <c r="K86" s="35"/>
      <c r="L86" s="34" t="s">
        <v>5223</v>
      </c>
      <c r="M86" s="35" t="s">
        <v>29</v>
      </c>
      <c r="N86" s="34" t="s">
        <v>5817</v>
      </c>
      <c r="O86" s="35" t="s">
        <v>816</v>
      </c>
      <c r="P86" s="35" t="s">
        <v>1055</v>
      </c>
    </row>
    <row r="87" spans="1:16" ht="13.2" customHeight="1" x14ac:dyDescent="0.25">
      <c r="A87" s="33">
        <v>85</v>
      </c>
      <c r="B87" s="34" t="s">
        <v>5818</v>
      </c>
      <c r="C87" s="35"/>
      <c r="D87" s="34" t="s">
        <v>5819</v>
      </c>
      <c r="E87" s="34" t="s">
        <v>5820</v>
      </c>
      <c r="F87" s="34" t="s">
        <v>5821</v>
      </c>
      <c r="G87" s="34" t="s">
        <v>5822</v>
      </c>
      <c r="H87" s="34" t="s">
        <v>5823</v>
      </c>
      <c r="I87" s="33" t="s">
        <v>96</v>
      </c>
      <c r="J87" s="34" t="s">
        <v>5824</v>
      </c>
      <c r="K87" s="35"/>
      <c r="L87" s="34" t="s">
        <v>5223</v>
      </c>
      <c r="M87" s="35" t="s">
        <v>29</v>
      </c>
      <c r="N87" s="34" t="s">
        <v>5825</v>
      </c>
      <c r="O87" s="35" t="s">
        <v>816</v>
      </c>
      <c r="P87" s="35" t="s">
        <v>1055</v>
      </c>
    </row>
    <row r="88" spans="1:16" ht="13.2" customHeight="1" x14ac:dyDescent="0.25">
      <c r="A88" s="33">
        <v>86</v>
      </c>
      <c r="B88" s="34" t="s">
        <v>5826</v>
      </c>
      <c r="C88" s="35"/>
      <c r="D88" s="34" t="s">
        <v>5827</v>
      </c>
      <c r="E88" s="34" t="s">
        <v>5828</v>
      </c>
      <c r="F88" s="34" t="s">
        <v>5829</v>
      </c>
      <c r="G88" s="34" t="s">
        <v>5830</v>
      </c>
      <c r="H88" s="34" t="s">
        <v>5831</v>
      </c>
      <c r="I88" s="33" t="s">
        <v>90</v>
      </c>
      <c r="J88" s="34" t="s">
        <v>5832</v>
      </c>
      <c r="K88" s="35"/>
      <c r="L88" s="34" t="s">
        <v>5223</v>
      </c>
      <c r="M88" s="35" t="s">
        <v>29</v>
      </c>
      <c r="N88" s="34" t="s">
        <v>5833</v>
      </c>
      <c r="O88" s="35" t="s">
        <v>816</v>
      </c>
      <c r="P88" s="35" t="s">
        <v>1055</v>
      </c>
    </row>
    <row r="89" spans="1:16" ht="13.2" customHeight="1" x14ac:dyDescent="0.25">
      <c r="A89" s="33">
        <v>87</v>
      </c>
      <c r="B89" s="34" t="s">
        <v>5834</v>
      </c>
      <c r="C89" s="35"/>
      <c r="D89" s="34" t="s">
        <v>5835</v>
      </c>
      <c r="E89" s="34" t="s">
        <v>5836</v>
      </c>
      <c r="F89" s="34" t="s">
        <v>5837</v>
      </c>
      <c r="G89" s="34" t="s">
        <v>5838</v>
      </c>
      <c r="H89" s="34" t="s">
        <v>5839</v>
      </c>
      <c r="I89" s="33" t="s">
        <v>96</v>
      </c>
      <c r="J89" s="34" t="s">
        <v>5840</v>
      </c>
      <c r="K89" s="35"/>
      <c r="L89" s="34" t="s">
        <v>5223</v>
      </c>
      <c r="M89" s="35" t="s">
        <v>29</v>
      </c>
      <c r="N89" s="34" t="s">
        <v>5841</v>
      </c>
      <c r="O89" s="35" t="s">
        <v>816</v>
      </c>
      <c r="P89" s="35" t="s">
        <v>1055</v>
      </c>
    </row>
    <row r="90" spans="1:16" ht="13.2" customHeight="1" x14ac:dyDescent="0.25">
      <c r="A90" s="33">
        <v>88</v>
      </c>
      <c r="B90" s="34" t="s">
        <v>5842</v>
      </c>
      <c r="C90" s="35"/>
      <c r="D90" s="34" t="s">
        <v>5843</v>
      </c>
      <c r="E90" s="34" t="s">
        <v>5844</v>
      </c>
      <c r="F90" s="34" t="s">
        <v>5845</v>
      </c>
      <c r="G90" s="34" t="s">
        <v>5846</v>
      </c>
      <c r="H90" s="34" t="s">
        <v>5847</v>
      </c>
      <c r="I90" s="33" t="s">
        <v>96</v>
      </c>
      <c r="J90" s="34" t="s">
        <v>5848</v>
      </c>
      <c r="K90" s="35"/>
      <c r="L90" s="34" t="s">
        <v>5223</v>
      </c>
      <c r="M90" s="35" t="s">
        <v>29</v>
      </c>
      <c r="N90" s="34" t="s">
        <v>5849</v>
      </c>
      <c r="O90" s="35" t="s">
        <v>816</v>
      </c>
      <c r="P90" s="35" t="s">
        <v>1055</v>
      </c>
    </row>
    <row r="91" spans="1:16" ht="13.2" customHeight="1" x14ac:dyDescent="0.25">
      <c r="A91" s="33">
        <v>89</v>
      </c>
      <c r="B91" s="34" t="s">
        <v>5850</v>
      </c>
      <c r="C91" s="35"/>
      <c r="D91" s="34" t="s">
        <v>5851</v>
      </c>
      <c r="E91" s="34" t="s">
        <v>5852</v>
      </c>
      <c r="F91" s="34" t="s">
        <v>5853</v>
      </c>
      <c r="G91" s="34" t="s">
        <v>5854</v>
      </c>
      <c r="H91" s="34" t="s">
        <v>5855</v>
      </c>
      <c r="I91" s="33" t="s">
        <v>96</v>
      </c>
      <c r="J91" s="34" t="s">
        <v>5856</v>
      </c>
      <c r="K91" s="35"/>
      <c r="L91" s="34" t="s">
        <v>5223</v>
      </c>
      <c r="M91" s="35" t="s">
        <v>29</v>
      </c>
      <c r="N91" s="34" t="s">
        <v>5857</v>
      </c>
      <c r="O91" s="35" t="s">
        <v>816</v>
      </c>
      <c r="P91" s="35" t="s">
        <v>1055</v>
      </c>
    </row>
    <row r="92" spans="1:16" ht="13.2" customHeight="1" x14ac:dyDescent="0.25">
      <c r="A92" s="33">
        <v>90</v>
      </c>
      <c r="B92" s="34" t="s">
        <v>5858</v>
      </c>
      <c r="C92" s="35"/>
      <c r="D92" s="34" t="s">
        <v>5859</v>
      </c>
      <c r="E92" s="34" t="s">
        <v>5860</v>
      </c>
      <c r="F92" s="34" t="s">
        <v>5861</v>
      </c>
      <c r="G92" s="34" t="s">
        <v>5862</v>
      </c>
      <c r="H92" s="34" t="s">
        <v>5863</v>
      </c>
      <c r="I92" s="33" t="s">
        <v>84</v>
      </c>
      <c r="J92" s="34" t="s">
        <v>5864</v>
      </c>
      <c r="K92" s="35"/>
      <c r="L92" s="34" t="s">
        <v>5223</v>
      </c>
      <c r="M92" s="35" t="s">
        <v>29</v>
      </c>
      <c r="N92" s="34" t="s">
        <v>5865</v>
      </c>
      <c r="O92" s="35" t="s">
        <v>816</v>
      </c>
      <c r="P92" s="35" t="s">
        <v>1055</v>
      </c>
    </row>
    <row r="93" spans="1:16" ht="13.2" customHeight="1" x14ac:dyDescent="0.25">
      <c r="A93" s="33">
        <v>91</v>
      </c>
      <c r="B93" s="34" t="s">
        <v>5866</v>
      </c>
      <c r="C93" s="35"/>
      <c r="D93" s="34" t="s">
        <v>5867</v>
      </c>
      <c r="E93" s="34" t="s">
        <v>5868</v>
      </c>
      <c r="F93" s="34" t="s">
        <v>5869</v>
      </c>
      <c r="G93" s="34" t="s">
        <v>5870</v>
      </c>
      <c r="H93" s="34" t="s">
        <v>5871</v>
      </c>
      <c r="I93" s="33" t="s">
        <v>96</v>
      </c>
      <c r="J93" s="34" t="s">
        <v>5872</v>
      </c>
      <c r="K93" s="35"/>
      <c r="L93" s="34" t="s">
        <v>5320</v>
      </c>
      <c r="M93" s="35" t="s">
        <v>29</v>
      </c>
      <c r="N93" s="34" t="s">
        <v>5873</v>
      </c>
      <c r="O93" s="35" t="s">
        <v>816</v>
      </c>
      <c r="P93" s="35" t="s">
        <v>1055</v>
      </c>
    </row>
    <row r="94" spans="1:16" ht="13.2" customHeight="1" x14ac:dyDescent="0.25">
      <c r="A94" s="33">
        <v>92</v>
      </c>
      <c r="B94" s="34" t="s">
        <v>5874</v>
      </c>
      <c r="C94" s="35"/>
      <c r="D94" s="34" t="s">
        <v>5875</v>
      </c>
      <c r="E94" s="34" t="s">
        <v>5876</v>
      </c>
      <c r="F94" s="34" t="s">
        <v>5877</v>
      </c>
      <c r="G94" s="34" t="s">
        <v>5878</v>
      </c>
      <c r="H94" s="34" t="s">
        <v>5879</v>
      </c>
      <c r="I94" s="33" t="s">
        <v>96</v>
      </c>
      <c r="J94" s="34" t="s">
        <v>5880</v>
      </c>
      <c r="K94" s="35"/>
      <c r="L94" s="34" t="s">
        <v>5320</v>
      </c>
      <c r="M94" s="35" t="s">
        <v>29</v>
      </c>
      <c r="N94" s="34" t="s">
        <v>5881</v>
      </c>
      <c r="O94" s="35" t="s">
        <v>816</v>
      </c>
      <c r="P94" s="35" t="s">
        <v>1055</v>
      </c>
    </row>
    <row r="95" spans="1:16" ht="13.2" customHeight="1" x14ac:dyDescent="0.25">
      <c r="A95" s="33">
        <v>93</v>
      </c>
      <c r="B95" s="34" t="s">
        <v>5882</v>
      </c>
      <c r="C95" s="35"/>
      <c r="D95" s="34" t="s">
        <v>5883</v>
      </c>
      <c r="E95" s="34" t="s">
        <v>5884</v>
      </c>
      <c r="F95" s="34" t="s">
        <v>5885</v>
      </c>
      <c r="G95" s="34" t="s">
        <v>5886</v>
      </c>
      <c r="H95" s="34" t="s">
        <v>5887</v>
      </c>
      <c r="I95" s="33" t="s">
        <v>96</v>
      </c>
      <c r="J95" s="34" t="s">
        <v>5888</v>
      </c>
      <c r="K95" s="35"/>
      <c r="L95" s="34" t="s">
        <v>5320</v>
      </c>
      <c r="M95" s="35" t="s">
        <v>29</v>
      </c>
      <c r="N95" s="34" t="s">
        <v>5889</v>
      </c>
      <c r="O95" s="35" t="s">
        <v>816</v>
      </c>
      <c r="P95" s="35" t="s">
        <v>1055</v>
      </c>
    </row>
    <row r="96" spans="1:16" ht="13.2" customHeight="1" x14ac:dyDescent="0.25">
      <c r="A96" s="33">
        <v>94</v>
      </c>
      <c r="B96" s="34" t="s">
        <v>5890</v>
      </c>
      <c r="C96" s="35"/>
      <c r="D96" s="34" t="s">
        <v>5891</v>
      </c>
      <c r="E96" s="34" t="s">
        <v>5892</v>
      </c>
      <c r="F96" s="34" t="s">
        <v>5893</v>
      </c>
      <c r="G96" s="34" t="s">
        <v>5894</v>
      </c>
      <c r="H96" s="34" t="s">
        <v>5895</v>
      </c>
      <c r="I96" s="33" t="s">
        <v>96</v>
      </c>
      <c r="J96" s="34" t="s">
        <v>5896</v>
      </c>
      <c r="K96" s="35"/>
      <c r="L96" s="34" t="s">
        <v>5320</v>
      </c>
      <c r="M96" s="35" t="s">
        <v>29</v>
      </c>
      <c r="N96" s="34" t="s">
        <v>5897</v>
      </c>
      <c r="O96" s="35" t="s">
        <v>816</v>
      </c>
      <c r="P96" s="35" t="s">
        <v>1055</v>
      </c>
    </row>
    <row r="97" spans="1:17" ht="13.2" customHeight="1" x14ac:dyDescent="0.25">
      <c r="A97" s="33">
        <v>95</v>
      </c>
      <c r="B97" s="34" t="s">
        <v>5898</v>
      </c>
      <c r="C97" s="35"/>
      <c r="D97" s="34" t="s">
        <v>5899</v>
      </c>
      <c r="E97" s="34" t="s">
        <v>5900</v>
      </c>
      <c r="F97" s="34" t="s">
        <v>5901</v>
      </c>
      <c r="G97" s="34" t="s">
        <v>5902</v>
      </c>
      <c r="H97" s="34" t="s">
        <v>5903</v>
      </c>
      <c r="I97" s="33" t="s">
        <v>90</v>
      </c>
      <c r="J97" s="34" t="s">
        <v>5904</v>
      </c>
      <c r="K97" s="35"/>
      <c r="L97" s="34" t="s">
        <v>5320</v>
      </c>
      <c r="M97" s="35" t="s">
        <v>29</v>
      </c>
      <c r="N97" s="34" t="s">
        <v>5905</v>
      </c>
      <c r="O97" s="35" t="s">
        <v>816</v>
      </c>
      <c r="P97" s="35" t="s">
        <v>1055</v>
      </c>
    </row>
    <row r="98" spans="1:17" ht="13.2" customHeight="1" x14ac:dyDescent="0.25">
      <c r="A98" s="33">
        <v>96</v>
      </c>
      <c r="B98" s="34" t="s">
        <v>5906</v>
      </c>
      <c r="C98" s="35"/>
      <c r="D98" s="34" t="s">
        <v>5907</v>
      </c>
      <c r="E98" s="34" t="s">
        <v>5908</v>
      </c>
      <c r="F98" s="34" t="s">
        <v>5909</v>
      </c>
      <c r="G98" s="34" t="s">
        <v>5910</v>
      </c>
      <c r="H98" s="34" t="s">
        <v>5911</v>
      </c>
      <c r="I98" s="33" t="s">
        <v>96</v>
      </c>
      <c r="J98" s="34" t="s">
        <v>5912</v>
      </c>
      <c r="K98" s="35"/>
      <c r="L98" s="34" t="s">
        <v>5320</v>
      </c>
      <c r="M98" s="35" t="s">
        <v>29</v>
      </c>
      <c r="N98" s="34" t="s">
        <v>5913</v>
      </c>
      <c r="O98" s="35" t="s">
        <v>816</v>
      </c>
      <c r="P98" s="35" t="s">
        <v>1055</v>
      </c>
    </row>
    <row r="99" spans="1:17" ht="13.2" customHeight="1" x14ac:dyDescent="0.25">
      <c r="A99" s="33">
        <v>97</v>
      </c>
      <c r="B99" s="34" t="s">
        <v>5914</v>
      </c>
      <c r="C99" s="35"/>
      <c r="D99" s="34" t="s">
        <v>5915</v>
      </c>
      <c r="E99" s="34" t="s">
        <v>5916</v>
      </c>
      <c r="F99" s="34" t="s">
        <v>5917</v>
      </c>
      <c r="G99" s="34" t="s">
        <v>5918</v>
      </c>
      <c r="H99" s="34" t="s">
        <v>5919</v>
      </c>
      <c r="I99" s="33" t="s">
        <v>96</v>
      </c>
      <c r="J99" s="34" t="s">
        <v>5920</v>
      </c>
      <c r="K99" s="35"/>
      <c r="L99" s="34" t="s">
        <v>5320</v>
      </c>
      <c r="M99" s="35" t="s">
        <v>29</v>
      </c>
      <c r="N99" s="34" t="s">
        <v>5921</v>
      </c>
      <c r="O99" s="35" t="s">
        <v>816</v>
      </c>
      <c r="P99" s="35" t="s">
        <v>1055</v>
      </c>
    </row>
    <row r="100" spans="1:17" ht="13.2" customHeight="1" x14ac:dyDescent="0.25">
      <c r="A100" s="33">
        <v>98</v>
      </c>
      <c r="B100" s="34" t="s">
        <v>5922</v>
      </c>
      <c r="C100" s="35"/>
      <c r="D100" s="34" t="s">
        <v>5923</v>
      </c>
      <c r="E100" s="34" t="s">
        <v>5924</v>
      </c>
      <c r="F100" s="34" t="s">
        <v>5925</v>
      </c>
      <c r="G100" s="34" t="s">
        <v>5926</v>
      </c>
      <c r="H100" s="34" t="s">
        <v>5927</v>
      </c>
      <c r="I100" s="33" t="s">
        <v>90</v>
      </c>
      <c r="J100" s="34" t="s">
        <v>5928</v>
      </c>
      <c r="K100" s="35"/>
      <c r="L100" s="34" t="s">
        <v>5463</v>
      </c>
      <c r="M100" s="35" t="s">
        <v>29</v>
      </c>
      <c r="N100" s="34" t="s">
        <v>5929</v>
      </c>
      <c r="O100" s="35" t="s">
        <v>816</v>
      </c>
      <c r="P100" s="35" t="s">
        <v>1055</v>
      </c>
    </row>
    <row r="101" spans="1:17" ht="13.2" customHeight="1" x14ac:dyDescent="0.25">
      <c r="A101" s="33">
        <v>99</v>
      </c>
      <c r="B101" s="34" t="s">
        <v>5930</v>
      </c>
      <c r="C101" s="35"/>
      <c r="D101" s="34" t="s">
        <v>5931</v>
      </c>
      <c r="E101" s="34" t="s">
        <v>5932</v>
      </c>
      <c r="F101" s="34" t="s">
        <v>5933</v>
      </c>
      <c r="G101" s="34" t="s">
        <v>5934</v>
      </c>
      <c r="H101" s="34" t="s">
        <v>5935</v>
      </c>
      <c r="I101" s="33" t="s">
        <v>96</v>
      </c>
      <c r="J101" s="34" t="s">
        <v>5936</v>
      </c>
      <c r="K101" s="35"/>
      <c r="L101" s="34" t="s">
        <v>5463</v>
      </c>
      <c r="M101" s="35" t="s">
        <v>29</v>
      </c>
      <c r="N101" s="34" t="s">
        <v>5937</v>
      </c>
      <c r="O101" s="35" t="s">
        <v>816</v>
      </c>
      <c r="P101" s="35" t="s">
        <v>1055</v>
      </c>
    </row>
    <row r="102" spans="1:17" ht="13.2" customHeight="1" x14ac:dyDescent="0.25">
      <c r="A102" s="33">
        <v>100</v>
      </c>
      <c r="B102" s="34" t="s">
        <v>5938</v>
      </c>
      <c r="C102" s="35"/>
      <c r="D102" s="34" t="s">
        <v>5939</v>
      </c>
      <c r="E102" s="34" t="s">
        <v>5940</v>
      </c>
      <c r="F102" s="34" t="s">
        <v>5941</v>
      </c>
      <c r="G102" s="34" t="s">
        <v>5942</v>
      </c>
      <c r="H102" s="34" t="s">
        <v>5943</v>
      </c>
      <c r="I102" s="33" t="s">
        <v>96</v>
      </c>
      <c r="J102" s="34" t="s">
        <v>5944</v>
      </c>
      <c r="K102" s="35"/>
      <c r="L102" s="34" t="s">
        <v>5463</v>
      </c>
      <c r="M102" s="35" t="s">
        <v>29</v>
      </c>
      <c r="N102" s="34" t="s">
        <v>5945</v>
      </c>
      <c r="O102" s="35" t="s">
        <v>816</v>
      </c>
      <c r="P102" s="35" t="s">
        <v>1055</v>
      </c>
    </row>
    <row r="103" spans="1:17" ht="13.2" customHeight="1" x14ac:dyDescent="0.25">
      <c r="A103" s="33">
        <v>101</v>
      </c>
      <c r="B103" s="34" t="s">
        <v>5946</v>
      </c>
      <c r="C103" s="35"/>
      <c r="D103" s="34" t="s">
        <v>5947</v>
      </c>
      <c r="E103" s="34" t="s">
        <v>5948</v>
      </c>
      <c r="F103" s="34" t="s">
        <v>5949</v>
      </c>
      <c r="G103" s="34" t="s">
        <v>5950</v>
      </c>
      <c r="H103" s="34" t="s">
        <v>5951</v>
      </c>
      <c r="I103" s="33" t="s">
        <v>84</v>
      </c>
      <c r="J103" s="34" t="s">
        <v>5952</v>
      </c>
      <c r="K103" s="35"/>
      <c r="L103" s="34" t="s">
        <v>5463</v>
      </c>
      <c r="M103" s="35" t="s">
        <v>29</v>
      </c>
      <c r="N103" s="34" t="s">
        <v>5953</v>
      </c>
      <c r="O103" s="35" t="s">
        <v>816</v>
      </c>
      <c r="P103" s="35" t="s">
        <v>1055</v>
      </c>
    </row>
    <row r="104" spans="1:17" ht="13.2" customHeight="1" x14ac:dyDescent="0.25">
      <c r="A104" s="33">
        <v>102</v>
      </c>
      <c r="B104" s="34" t="s">
        <v>5954</v>
      </c>
      <c r="C104" s="35"/>
      <c r="D104" s="34" t="s">
        <v>5955</v>
      </c>
      <c r="E104" s="34" t="s">
        <v>5956</v>
      </c>
      <c r="F104" s="34" t="s">
        <v>5957</v>
      </c>
      <c r="G104" s="34" t="s">
        <v>5958</v>
      </c>
      <c r="H104" s="34" t="s">
        <v>5959</v>
      </c>
      <c r="I104" s="33" t="s">
        <v>90</v>
      </c>
      <c r="J104" s="34" t="s">
        <v>5960</v>
      </c>
      <c r="K104" s="35"/>
      <c r="L104" s="34" t="s">
        <v>5463</v>
      </c>
      <c r="M104" s="35" t="s">
        <v>29</v>
      </c>
      <c r="N104" s="34" t="s">
        <v>5961</v>
      </c>
      <c r="O104" s="35" t="s">
        <v>816</v>
      </c>
      <c r="P104" s="35" t="s">
        <v>1055</v>
      </c>
    </row>
    <row r="105" spans="1:17" ht="13.2" customHeight="1" x14ac:dyDescent="0.25">
      <c r="A105" s="33">
        <v>103</v>
      </c>
      <c r="B105" s="34" t="s">
        <v>5962</v>
      </c>
      <c r="C105" s="35"/>
      <c r="D105" s="34" t="s">
        <v>5963</v>
      </c>
      <c r="E105" s="34" t="s">
        <v>5964</v>
      </c>
      <c r="F105" s="34" t="s">
        <v>5965</v>
      </c>
      <c r="G105" s="34" t="s">
        <v>5966</v>
      </c>
      <c r="H105" s="34" t="s">
        <v>5967</v>
      </c>
      <c r="I105" s="33" t="s">
        <v>90</v>
      </c>
      <c r="J105" s="34" t="s">
        <v>5968</v>
      </c>
      <c r="K105" s="35"/>
      <c r="L105" s="34" t="s">
        <v>5231</v>
      </c>
      <c r="M105" s="35" t="s">
        <v>29</v>
      </c>
      <c r="N105" s="34" t="s">
        <v>5969</v>
      </c>
      <c r="O105" s="35" t="s">
        <v>816</v>
      </c>
      <c r="P105" s="35" t="s">
        <v>1055</v>
      </c>
    </row>
    <row r="106" spans="1:17" ht="13.2" customHeight="1" x14ac:dyDescent="0.25">
      <c r="A106" s="33">
        <v>104</v>
      </c>
      <c r="B106" s="34" t="s">
        <v>5970</v>
      </c>
      <c r="C106" s="35"/>
      <c r="D106" s="34" t="s">
        <v>5971</v>
      </c>
      <c r="E106" s="34" t="s">
        <v>5972</v>
      </c>
      <c r="F106" s="34" t="s">
        <v>5973</v>
      </c>
      <c r="G106" s="34" t="s">
        <v>5974</v>
      </c>
      <c r="H106" s="34" t="s">
        <v>5975</v>
      </c>
      <c r="I106" s="33" t="s">
        <v>96</v>
      </c>
      <c r="J106" s="34" t="s">
        <v>5976</v>
      </c>
      <c r="K106" s="35"/>
      <c r="L106" s="34" t="s">
        <v>5231</v>
      </c>
      <c r="M106" s="35" t="s">
        <v>29</v>
      </c>
      <c r="N106" s="34" t="s">
        <v>5977</v>
      </c>
      <c r="O106" s="35" t="s">
        <v>816</v>
      </c>
      <c r="P106" s="35" t="s">
        <v>1055</v>
      </c>
    </row>
    <row r="107" spans="1:17" ht="13.2" customHeight="1" x14ac:dyDescent="0.25">
      <c r="A107" s="33">
        <v>105</v>
      </c>
      <c r="B107" s="34" t="s">
        <v>5978</v>
      </c>
      <c r="C107" s="35"/>
      <c r="D107" s="34" t="s">
        <v>5979</v>
      </c>
      <c r="E107" s="34" t="s">
        <v>5980</v>
      </c>
      <c r="F107" s="34" t="s">
        <v>5981</v>
      </c>
      <c r="G107" s="34" t="s">
        <v>5982</v>
      </c>
      <c r="H107" s="34" t="s">
        <v>5983</v>
      </c>
      <c r="I107" s="33" t="s">
        <v>90</v>
      </c>
      <c r="J107" s="34" t="s">
        <v>5984</v>
      </c>
      <c r="K107" s="35"/>
      <c r="L107" s="34" t="s">
        <v>5231</v>
      </c>
      <c r="M107" s="35" t="s">
        <v>29</v>
      </c>
      <c r="N107" s="34" t="s">
        <v>5985</v>
      </c>
      <c r="O107" s="35" t="s">
        <v>816</v>
      </c>
      <c r="P107" s="35" t="s">
        <v>1055</v>
      </c>
    </row>
    <row r="108" spans="1:17" ht="13.2" customHeight="1" x14ac:dyDescent="0.25">
      <c r="A108" s="33">
        <v>106</v>
      </c>
      <c r="B108" s="34" t="s">
        <v>5986</v>
      </c>
      <c r="C108" s="35"/>
      <c r="D108" s="34" t="s">
        <v>5987</v>
      </c>
      <c r="E108" s="34" t="s">
        <v>5988</v>
      </c>
      <c r="F108" s="34" t="s">
        <v>5989</v>
      </c>
      <c r="G108" s="34" t="s">
        <v>5990</v>
      </c>
      <c r="H108" s="34" t="s">
        <v>5991</v>
      </c>
      <c r="I108" s="33" t="s">
        <v>96</v>
      </c>
      <c r="J108" s="34" t="s">
        <v>5992</v>
      </c>
      <c r="K108" s="35"/>
      <c r="L108" s="34" t="s">
        <v>5231</v>
      </c>
      <c r="M108" s="35" t="s">
        <v>29</v>
      </c>
      <c r="N108" s="34" t="s">
        <v>5993</v>
      </c>
      <c r="O108" s="35" t="s">
        <v>816</v>
      </c>
      <c r="P108" s="35" t="s">
        <v>1055</v>
      </c>
    </row>
    <row r="109" spans="1:17" ht="13.2" customHeight="1" x14ac:dyDescent="0.25">
      <c r="A109" s="33">
        <v>107</v>
      </c>
      <c r="B109" s="34" t="s">
        <v>5994</v>
      </c>
      <c r="C109" s="35"/>
      <c r="D109" s="34" t="s">
        <v>5995</v>
      </c>
      <c r="E109" s="34" t="s">
        <v>5996</v>
      </c>
      <c r="F109" s="34" t="s">
        <v>5997</v>
      </c>
      <c r="G109" s="34" t="s">
        <v>5998</v>
      </c>
      <c r="H109" s="34" t="s">
        <v>5999</v>
      </c>
      <c r="I109" s="33" t="s">
        <v>90</v>
      </c>
      <c r="J109" s="34" t="s">
        <v>6000</v>
      </c>
      <c r="K109" s="35"/>
      <c r="L109" s="34" t="s">
        <v>5231</v>
      </c>
      <c r="M109" s="35" t="s">
        <v>29</v>
      </c>
      <c r="N109" s="34" t="s">
        <v>6001</v>
      </c>
      <c r="O109" s="35" t="s">
        <v>816</v>
      </c>
      <c r="P109" s="35" t="s">
        <v>1055</v>
      </c>
    </row>
    <row r="110" spans="1:17" ht="13.2" customHeight="1" x14ac:dyDescent="0.25">
      <c r="A110" s="33">
        <v>108</v>
      </c>
      <c r="B110" s="34" t="s">
        <v>6002</v>
      </c>
      <c r="C110" s="35"/>
      <c r="D110" s="34" t="s">
        <v>6003</v>
      </c>
      <c r="E110" s="34" t="s">
        <v>6004</v>
      </c>
      <c r="F110" s="34" t="s">
        <v>6005</v>
      </c>
      <c r="G110" s="34" t="s">
        <v>6006</v>
      </c>
      <c r="H110" s="34" t="s">
        <v>6007</v>
      </c>
      <c r="I110" s="33" t="s">
        <v>96</v>
      </c>
      <c r="J110" s="34" t="s">
        <v>6008</v>
      </c>
      <c r="K110" s="35"/>
      <c r="L110" s="34" t="s">
        <v>5231</v>
      </c>
      <c r="M110" s="35" t="s">
        <v>29</v>
      </c>
      <c r="N110" s="34" t="s">
        <v>6009</v>
      </c>
      <c r="O110" s="35" t="s">
        <v>816</v>
      </c>
      <c r="P110" s="35" t="s">
        <v>1055</v>
      </c>
    </row>
    <row r="111" spans="1:17" ht="13.2" customHeight="1" x14ac:dyDescent="0.25">
      <c r="A111" s="33">
        <v>109</v>
      </c>
      <c r="B111" s="34" t="s">
        <v>6010</v>
      </c>
      <c r="C111" s="35"/>
      <c r="D111" s="34" t="s">
        <v>6011</v>
      </c>
      <c r="E111" s="34" t="s">
        <v>6012</v>
      </c>
      <c r="F111" s="34" t="s">
        <v>6013</v>
      </c>
      <c r="G111" s="34" t="s">
        <v>6014</v>
      </c>
      <c r="H111" s="34" t="s">
        <v>6015</v>
      </c>
      <c r="I111" s="33" t="s">
        <v>96</v>
      </c>
      <c r="J111" s="34" t="s">
        <v>6016</v>
      </c>
      <c r="K111" s="35"/>
      <c r="L111" s="34" t="s">
        <v>5231</v>
      </c>
      <c r="M111" s="35" t="s">
        <v>29</v>
      </c>
      <c r="N111" s="34" t="s">
        <v>6017</v>
      </c>
      <c r="O111" s="35" t="s">
        <v>816</v>
      </c>
      <c r="P111" s="35" t="s">
        <v>1055</v>
      </c>
    </row>
    <row r="112" spans="1:17" ht="13.2" customHeight="1" x14ac:dyDescent="0.25">
      <c r="A112" s="33">
        <v>110</v>
      </c>
      <c r="B112" s="34" t="s">
        <v>6018</v>
      </c>
      <c r="C112" s="35"/>
      <c r="D112" s="34" t="s">
        <v>6019</v>
      </c>
      <c r="E112" s="34" t="s">
        <v>6020</v>
      </c>
      <c r="F112" s="34" t="s">
        <v>2634</v>
      </c>
      <c r="G112" s="34" t="s">
        <v>6021</v>
      </c>
      <c r="H112" s="34" t="s">
        <v>6022</v>
      </c>
      <c r="I112" s="33" t="s">
        <v>84</v>
      </c>
      <c r="J112" s="34" t="s">
        <v>6023</v>
      </c>
      <c r="K112" s="35"/>
      <c r="L112" s="34" t="s">
        <v>5320</v>
      </c>
      <c r="M112" s="35" t="s">
        <v>29</v>
      </c>
      <c r="N112" s="34" t="s">
        <v>6024</v>
      </c>
      <c r="O112" s="35" t="s">
        <v>164</v>
      </c>
      <c r="P112" s="35" t="s">
        <v>1865</v>
      </c>
      <c r="Q112" s="2"/>
    </row>
    <row r="113" spans="1:17" ht="13.2" customHeight="1" x14ac:dyDescent="0.25">
      <c r="A113" s="33">
        <v>111</v>
      </c>
      <c r="B113" s="34" t="s">
        <v>6025</v>
      </c>
      <c r="C113" s="35"/>
      <c r="D113" s="34" t="s">
        <v>6026</v>
      </c>
      <c r="E113" s="34" t="s">
        <v>6027</v>
      </c>
      <c r="F113" s="34" t="s">
        <v>6028</v>
      </c>
      <c r="G113" s="34" t="s">
        <v>6029</v>
      </c>
      <c r="H113" s="34" t="s">
        <v>6030</v>
      </c>
      <c r="I113" s="33" t="s">
        <v>84</v>
      </c>
      <c r="J113" s="34" t="s">
        <v>6031</v>
      </c>
      <c r="K113" s="35"/>
      <c r="L113" s="34" t="s">
        <v>5320</v>
      </c>
      <c r="M113" s="35" t="s">
        <v>29</v>
      </c>
      <c r="N113" s="34" t="s">
        <v>6032</v>
      </c>
      <c r="O113" s="35" t="s">
        <v>164</v>
      </c>
      <c r="P113" s="35" t="s">
        <v>1865</v>
      </c>
      <c r="Q113" s="2"/>
    </row>
    <row r="114" spans="1:17" ht="13.2" customHeight="1" x14ac:dyDescent="0.25">
      <c r="A114" s="33">
        <v>112</v>
      </c>
      <c r="B114" s="34" t="s">
        <v>6033</v>
      </c>
      <c r="C114" s="35"/>
      <c r="D114" s="34" t="s">
        <v>6034</v>
      </c>
      <c r="E114" s="34" t="s">
        <v>6035</v>
      </c>
      <c r="F114" s="34" t="s">
        <v>5454</v>
      </c>
      <c r="G114" s="34" t="s">
        <v>6036</v>
      </c>
      <c r="H114" s="34" t="s">
        <v>6037</v>
      </c>
      <c r="I114" s="33" t="s">
        <v>84</v>
      </c>
      <c r="J114" s="34" t="s">
        <v>6038</v>
      </c>
      <c r="K114" s="35"/>
      <c r="L114" s="34" t="s">
        <v>5223</v>
      </c>
      <c r="M114" s="35" t="s">
        <v>29</v>
      </c>
      <c r="N114" s="34" t="s">
        <v>6039</v>
      </c>
      <c r="O114" s="35" t="s">
        <v>164</v>
      </c>
      <c r="P114" s="35" t="s">
        <v>1865</v>
      </c>
    </row>
    <row r="115" spans="1:17" ht="13.2" customHeight="1" x14ac:dyDescent="0.25">
      <c r="A115" s="33">
        <v>113</v>
      </c>
      <c r="B115" s="34" t="s">
        <v>6018</v>
      </c>
      <c r="C115" s="35"/>
      <c r="D115" s="34" t="s">
        <v>6040</v>
      </c>
      <c r="E115" s="34" t="s">
        <v>6041</v>
      </c>
      <c r="F115" s="34" t="s">
        <v>6042</v>
      </c>
      <c r="G115" s="34" t="s">
        <v>6043</v>
      </c>
      <c r="H115" s="34" t="s">
        <v>6044</v>
      </c>
      <c r="I115" s="33" t="s">
        <v>84</v>
      </c>
      <c r="J115" s="34" t="s">
        <v>6045</v>
      </c>
      <c r="K115" s="35"/>
      <c r="L115" s="34" t="s">
        <v>5320</v>
      </c>
      <c r="M115" s="35" t="s">
        <v>29</v>
      </c>
      <c r="N115" s="34" t="s">
        <v>1981</v>
      </c>
      <c r="O115" s="35" t="s">
        <v>164</v>
      </c>
      <c r="P115" s="35" t="s">
        <v>1865</v>
      </c>
      <c r="Q115" s="2"/>
    </row>
    <row r="116" spans="1:17" ht="13.2" customHeight="1" x14ac:dyDescent="0.25">
      <c r="A116" s="33">
        <v>114</v>
      </c>
      <c r="B116" s="34" t="s">
        <v>6046</v>
      </c>
      <c r="C116" s="35"/>
      <c r="D116" s="34" t="s">
        <v>6026</v>
      </c>
      <c r="E116" s="34" t="s">
        <v>6027</v>
      </c>
      <c r="F116" s="34" t="s">
        <v>6028</v>
      </c>
      <c r="G116" s="34" t="s">
        <v>6029</v>
      </c>
      <c r="H116" s="34" t="s">
        <v>6047</v>
      </c>
      <c r="I116" s="33" t="s">
        <v>84</v>
      </c>
      <c r="J116" s="34" t="s">
        <v>6048</v>
      </c>
      <c r="K116" s="35"/>
      <c r="L116" s="34" t="s">
        <v>5320</v>
      </c>
      <c r="M116" s="35" t="s">
        <v>29</v>
      </c>
      <c r="N116" s="34" t="s">
        <v>6049</v>
      </c>
      <c r="O116" s="35" t="s">
        <v>164</v>
      </c>
      <c r="P116" s="35" t="s">
        <v>1865</v>
      </c>
      <c r="Q116" s="2"/>
    </row>
    <row r="117" spans="1:17" ht="13.2" customHeight="1" x14ac:dyDescent="0.25">
      <c r="A117" s="33">
        <v>115</v>
      </c>
      <c r="B117" s="34" t="s">
        <v>6050</v>
      </c>
      <c r="C117" s="35"/>
      <c r="D117" s="34" t="s">
        <v>6034</v>
      </c>
      <c r="E117" s="34" t="s">
        <v>6051</v>
      </c>
      <c r="F117" s="34" t="s">
        <v>6052</v>
      </c>
      <c r="G117" s="34" t="s">
        <v>6053</v>
      </c>
      <c r="H117" s="34" t="s">
        <v>6054</v>
      </c>
      <c r="I117" s="33" t="s">
        <v>84</v>
      </c>
      <c r="J117" s="34" t="s">
        <v>6055</v>
      </c>
      <c r="K117" s="35"/>
      <c r="L117" s="34" t="s">
        <v>5223</v>
      </c>
      <c r="M117" s="35" t="s">
        <v>29</v>
      </c>
      <c r="N117" s="34" t="s">
        <v>6056</v>
      </c>
      <c r="O117" s="35" t="s">
        <v>164</v>
      </c>
      <c r="P117" s="35" t="s">
        <v>2017</v>
      </c>
    </row>
    <row r="118" spans="1:17" ht="13.2" customHeight="1" x14ac:dyDescent="0.25">
      <c r="A118" s="33">
        <v>116</v>
      </c>
      <c r="B118" s="34" t="s">
        <v>6057</v>
      </c>
      <c r="C118" s="35"/>
      <c r="D118" s="34" t="s">
        <v>6034</v>
      </c>
      <c r="E118" s="34" t="s">
        <v>6054</v>
      </c>
      <c r="F118" s="34" t="s">
        <v>6035</v>
      </c>
      <c r="G118" s="34" t="s">
        <v>5454</v>
      </c>
      <c r="H118" s="34" t="s">
        <v>6036</v>
      </c>
      <c r="I118" s="33" t="s">
        <v>84</v>
      </c>
      <c r="J118" s="34" t="s">
        <v>6058</v>
      </c>
      <c r="K118" s="35"/>
      <c r="L118" s="34" t="s">
        <v>5223</v>
      </c>
      <c r="M118" s="35" t="s">
        <v>29</v>
      </c>
      <c r="N118" s="34" t="s">
        <v>6059</v>
      </c>
      <c r="O118" s="35" t="s">
        <v>164</v>
      </c>
      <c r="P118" s="35" t="s">
        <v>2017</v>
      </c>
    </row>
    <row r="119" spans="1:17" ht="13.2" customHeight="1" x14ac:dyDescent="0.25">
      <c r="A119" s="33">
        <v>117</v>
      </c>
      <c r="B119" s="34" t="s">
        <v>6060</v>
      </c>
      <c r="C119" s="35"/>
      <c r="D119" s="34" t="s">
        <v>6034</v>
      </c>
      <c r="E119" s="34" t="s">
        <v>6036</v>
      </c>
      <c r="F119" s="34" t="s">
        <v>6037</v>
      </c>
      <c r="G119" s="34" t="s">
        <v>6061</v>
      </c>
      <c r="H119" s="34" t="s">
        <v>6062</v>
      </c>
      <c r="I119" s="33" t="s">
        <v>84</v>
      </c>
      <c r="J119" s="34" t="s">
        <v>6063</v>
      </c>
      <c r="K119" s="35"/>
      <c r="L119" s="34" t="s">
        <v>5223</v>
      </c>
      <c r="M119" s="35" t="s">
        <v>29</v>
      </c>
      <c r="N119" s="34" t="s">
        <v>6064</v>
      </c>
      <c r="O119" s="35" t="s">
        <v>164</v>
      </c>
      <c r="P119" s="35" t="s">
        <v>2017</v>
      </c>
    </row>
    <row r="120" spans="1:17" ht="13.2" customHeight="1" x14ac:dyDescent="0.25">
      <c r="A120" s="33">
        <v>118</v>
      </c>
      <c r="B120" s="34" t="s">
        <v>6065</v>
      </c>
      <c r="C120" s="35"/>
      <c r="D120" s="34" t="s">
        <v>6066</v>
      </c>
      <c r="E120" s="34" t="s">
        <v>6067</v>
      </c>
      <c r="F120" s="34" t="s">
        <v>6068</v>
      </c>
      <c r="G120" s="34" t="s">
        <v>6069</v>
      </c>
      <c r="H120" s="34" t="s">
        <v>6070</v>
      </c>
      <c r="I120" s="33" t="s">
        <v>84</v>
      </c>
      <c r="J120" s="34" t="s">
        <v>6071</v>
      </c>
      <c r="K120" s="35"/>
      <c r="L120" s="34" t="s">
        <v>5463</v>
      </c>
      <c r="M120" s="35" t="s">
        <v>29</v>
      </c>
      <c r="N120" s="34" t="s">
        <v>6072</v>
      </c>
      <c r="O120" s="35" t="s">
        <v>164</v>
      </c>
      <c r="P120" s="35" t="s">
        <v>2017</v>
      </c>
    </row>
    <row r="121" spans="1:17" ht="13.2" customHeight="1" x14ac:dyDescent="0.25">
      <c r="A121" s="33">
        <v>119</v>
      </c>
      <c r="B121" s="34" t="s">
        <v>6073</v>
      </c>
      <c r="C121" s="35"/>
      <c r="D121" s="34" t="s">
        <v>5467</v>
      </c>
      <c r="E121" s="34" t="s">
        <v>6074</v>
      </c>
      <c r="F121" s="34" t="s">
        <v>5632</v>
      </c>
      <c r="G121" s="34" t="s">
        <v>6075</v>
      </c>
      <c r="H121" s="34" t="s">
        <v>6076</v>
      </c>
      <c r="I121" s="33" t="s">
        <v>84</v>
      </c>
      <c r="J121" s="34" t="s">
        <v>6077</v>
      </c>
      <c r="K121" s="35"/>
      <c r="L121" s="34" t="s">
        <v>5463</v>
      </c>
      <c r="M121" s="35" t="s">
        <v>29</v>
      </c>
      <c r="N121" s="34" t="s">
        <v>6078</v>
      </c>
      <c r="O121" s="35" t="s">
        <v>164</v>
      </c>
      <c r="P121" s="35" t="s">
        <v>2017</v>
      </c>
    </row>
    <row r="122" spans="1:17" ht="13.2" customHeight="1" x14ac:dyDescent="0.25">
      <c r="A122" s="33">
        <v>120</v>
      </c>
      <c r="B122" s="34" t="s">
        <v>6079</v>
      </c>
      <c r="C122" s="35"/>
      <c r="D122" s="34" t="s">
        <v>6080</v>
      </c>
      <c r="E122" s="34" t="s">
        <v>6081</v>
      </c>
      <c r="F122" s="34" t="s">
        <v>6054</v>
      </c>
      <c r="G122" s="34" t="s">
        <v>6035</v>
      </c>
      <c r="H122" s="34" t="s">
        <v>5454</v>
      </c>
      <c r="I122" s="33" t="s">
        <v>84</v>
      </c>
      <c r="J122" s="34" t="s">
        <v>6082</v>
      </c>
      <c r="K122" s="35"/>
      <c r="L122" s="34" t="s">
        <v>5463</v>
      </c>
      <c r="M122" s="35" t="s">
        <v>29</v>
      </c>
      <c r="N122" s="34" t="s">
        <v>6083</v>
      </c>
      <c r="O122" s="35" t="s">
        <v>164</v>
      </c>
      <c r="P122" s="35" t="s">
        <v>2017</v>
      </c>
    </row>
    <row r="123" spans="1:17" ht="13.2" customHeight="1" x14ac:dyDescent="0.25">
      <c r="A123" s="33">
        <v>121</v>
      </c>
      <c r="B123" s="34" t="s">
        <v>6084</v>
      </c>
      <c r="C123" s="35"/>
      <c r="D123" s="34" t="s">
        <v>6034</v>
      </c>
      <c r="E123" s="34" t="s">
        <v>5454</v>
      </c>
      <c r="F123" s="34" t="s">
        <v>6036</v>
      </c>
      <c r="G123" s="34" t="s">
        <v>6037</v>
      </c>
      <c r="H123" s="34" t="s">
        <v>6061</v>
      </c>
      <c r="I123" s="33" t="s">
        <v>84</v>
      </c>
      <c r="J123" s="34" t="s">
        <v>6085</v>
      </c>
      <c r="K123" s="35"/>
      <c r="L123" s="34" t="s">
        <v>5223</v>
      </c>
      <c r="M123" s="35" t="s">
        <v>29</v>
      </c>
      <c r="N123" s="34" t="s">
        <v>2084</v>
      </c>
      <c r="O123" s="35" t="s">
        <v>164</v>
      </c>
      <c r="P123" s="35" t="s">
        <v>2109</v>
      </c>
    </row>
    <row r="124" spans="1:17" ht="13.2" customHeight="1" x14ac:dyDescent="0.25">
      <c r="A124" s="33">
        <v>122</v>
      </c>
      <c r="B124" s="34" t="s">
        <v>6086</v>
      </c>
      <c r="C124" s="35"/>
      <c r="D124" s="34" t="s">
        <v>6087</v>
      </c>
      <c r="E124" s="34" t="s">
        <v>6088</v>
      </c>
      <c r="F124" s="34" t="s">
        <v>6089</v>
      </c>
      <c r="G124" s="34" t="s">
        <v>6090</v>
      </c>
      <c r="H124" s="34" t="s">
        <v>6091</v>
      </c>
      <c r="I124" s="33" t="s">
        <v>84</v>
      </c>
      <c r="J124" s="34" t="s">
        <v>6092</v>
      </c>
      <c r="K124" s="35"/>
      <c r="L124" s="34" t="s">
        <v>5231</v>
      </c>
      <c r="M124" s="35" t="s">
        <v>29</v>
      </c>
      <c r="N124" s="34" t="s">
        <v>6093</v>
      </c>
      <c r="O124" s="35" t="s">
        <v>164</v>
      </c>
      <c r="P124" s="35" t="s">
        <v>2109</v>
      </c>
      <c r="Q124" s="2"/>
    </row>
    <row r="125" spans="1:17" ht="13.2" customHeight="1" x14ac:dyDescent="0.25">
      <c r="A125" s="33">
        <v>123</v>
      </c>
      <c r="B125" s="34" t="s">
        <v>6094</v>
      </c>
      <c r="C125" s="35"/>
      <c r="D125" s="34" t="s">
        <v>6095</v>
      </c>
      <c r="E125" s="34" t="s">
        <v>6096</v>
      </c>
      <c r="F125" s="34" t="s">
        <v>6097</v>
      </c>
      <c r="G125" s="34" t="s">
        <v>6051</v>
      </c>
      <c r="H125" s="34" t="s">
        <v>6052</v>
      </c>
      <c r="I125" s="33">
        <v>2</v>
      </c>
      <c r="J125" s="34" t="s">
        <v>6098</v>
      </c>
      <c r="K125" s="35"/>
      <c r="L125" s="34" t="s">
        <v>5463</v>
      </c>
      <c r="M125" s="35" t="s">
        <v>29</v>
      </c>
      <c r="N125" s="34" t="s">
        <v>6099</v>
      </c>
      <c r="O125" s="35" t="s">
        <v>164</v>
      </c>
      <c r="P125" s="35" t="s">
        <v>2109</v>
      </c>
    </row>
    <row r="126" spans="1:17" ht="13.2" customHeight="1" x14ac:dyDescent="0.25">
      <c r="A126" s="33">
        <v>124</v>
      </c>
      <c r="B126" s="34" t="s">
        <v>6100</v>
      </c>
      <c r="C126" s="35"/>
      <c r="D126" s="34" t="s">
        <v>6034</v>
      </c>
      <c r="E126" s="34" t="s">
        <v>6052</v>
      </c>
      <c r="F126" s="34" t="s">
        <v>6053</v>
      </c>
      <c r="G126" s="34" t="s">
        <v>6054</v>
      </c>
      <c r="H126" s="34" t="s">
        <v>6035</v>
      </c>
      <c r="I126" s="33" t="s">
        <v>84</v>
      </c>
      <c r="J126" s="34" t="s">
        <v>6101</v>
      </c>
      <c r="K126" s="35"/>
      <c r="L126" s="34" t="s">
        <v>5320</v>
      </c>
      <c r="M126" s="35" t="s">
        <v>29</v>
      </c>
      <c r="N126" s="34" t="s">
        <v>6102</v>
      </c>
      <c r="O126" s="35" t="s">
        <v>164</v>
      </c>
      <c r="P126" s="35" t="s">
        <v>2155</v>
      </c>
    </row>
    <row r="127" spans="1:17" ht="13.2" customHeight="1" x14ac:dyDescent="0.25">
      <c r="A127" s="33">
        <v>125</v>
      </c>
      <c r="B127" s="34" t="s">
        <v>6103</v>
      </c>
      <c r="C127" s="35"/>
      <c r="D127" s="34" t="s">
        <v>6034</v>
      </c>
      <c r="E127" s="34" t="s">
        <v>6035</v>
      </c>
      <c r="F127" s="34" t="s">
        <v>5454</v>
      </c>
      <c r="G127" s="34" t="s">
        <v>6036</v>
      </c>
      <c r="H127" s="34" t="s">
        <v>6037</v>
      </c>
      <c r="I127" s="33" t="s">
        <v>84</v>
      </c>
      <c r="J127" s="34" t="s">
        <v>6038</v>
      </c>
      <c r="K127" s="35"/>
      <c r="L127" s="34" t="s">
        <v>5223</v>
      </c>
      <c r="M127" s="35" t="s">
        <v>29</v>
      </c>
      <c r="N127" s="34" t="s">
        <v>6104</v>
      </c>
      <c r="O127" s="35" t="s">
        <v>164</v>
      </c>
      <c r="P127" s="35" t="s">
        <v>2155</v>
      </c>
    </row>
    <row r="128" spans="1:17" ht="13.2" customHeight="1" x14ac:dyDescent="0.25">
      <c r="A128" s="33">
        <v>126</v>
      </c>
      <c r="B128" s="34" t="s">
        <v>6105</v>
      </c>
      <c r="C128" s="35"/>
      <c r="D128" s="34" t="s">
        <v>6034</v>
      </c>
      <c r="E128" s="34" t="s">
        <v>6106</v>
      </c>
      <c r="F128" s="34" t="s">
        <v>6107</v>
      </c>
      <c r="G128" s="34" t="s">
        <v>6108</v>
      </c>
      <c r="H128" s="34" t="s">
        <v>6109</v>
      </c>
      <c r="I128" s="33">
        <v>3</v>
      </c>
      <c r="J128" s="34" t="s">
        <v>6110</v>
      </c>
      <c r="K128" s="35"/>
      <c r="L128" s="34" t="s">
        <v>5463</v>
      </c>
      <c r="M128" s="35" t="s">
        <v>29</v>
      </c>
      <c r="N128" s="34" t="s">
        <v>6111</v>
      </c>
      <c r="O128" s="35" t="s">
        <v>164</v>
      </c>
      <c r="P128" s="35" t="s">
        <v>3354</v>
      </c>
    </row>
    <row r="129" spans="1:16" ht="13.2" customHeight="1" x14ac:dyDescent="0.25">
      <c r="A129" s="33">
        <v>127</v>
      </c>
      <c r="B129" s="34" t="s">
        <v>6112</v>
      </c>
      <c r="C129" s="35"/>
      <c r="D129" s="34" t="s">
        <v>622</v>
      </c>
      <c r="E129" s="34" t="s">
        <v>6113</v>
      </c>
      <c r="F129" s="34" t="s">
        <v>5477</v>
      </c>
      <c r="G129" s="34" t="s">
        <v>6114</v>
      </c>
      <c r="H129" s="34" t="s">
        <v>6115</v>
      </c>
      <c r="I129" s="33" t="s">
        <v>84</v>
      </c>
      <c r="J129" s="34" t="s">
        <v>6116</v>
      </c>
      <c r="K129" s="35"/>
      <c r="L129" s="34" t="s">
        <v>5223</v>
      </c>
      <c r="M129" s="35" t="s">
        <v>29</v>
      </c>
      <c r="N129" s="34" t="s">
        <v>6117</v>
      </c>
      <c r="O129" s="35" t="s">
        <v>164</v>
      </c>
      <c r="P129" s="35" t="s">
        <v>2206</v>
      </c>
    </row>
    <row r="130" spans="1:16" ht="13.2" customHeight="1" x14ac:dyDescent="0.25">
      <c r="A130" s="33">
        <v>128</v>
      </c>
      <c r="B130" s="34" t="s">
        <v>6118</v>
      </c>
      <c r="C130" s="35"/>
      <c r="D130" s="34" t="s">
        <v>6119</v>
      </c>
      <c r="E130" s="34" t="s">
        <v>6120</v>
      </c>
      <c r="F130" s="34" t="s">
        <v>6121</v>
      </c>
      <c r="G130" s="34" t="s">
        <v>6122</v>
      </c>
      <c r="H130" s="34" t="s">
        <v>6123</v>
      </c>
      <c r="I130" s="33" t="s">
        <v>84</v>
      </c>
      <c r="J130" s="34" t="s">
        <v>6124</v>
      </c>
      <c r="K130" s="35"/>
      <c r="L130" s="34" t="s">
        <v>5223</v>
      </c>
      <c r="M130" s="35" t="s">
        <v>29</v>
      </c>
      <c r="N130" s="34" t="s">
        <v>6125</v>
      </c>
      <c r="O130" s="35" t="s">
        <v>164</v>
      </c>
      <c r="P130" s="35" t="s">
        <v>2206</v>
      </c>
    </row>
    <row r="131" spans="1:16" ht="13.2" customHeight="1" x14ac:dyDescent="0.25">
      <c r="A131" s="33">
        <v>129</v>
      </c>
      <c r="B131" s="34" t="s">
        <v>6126</v>
      </c>
      <c r="C131" s="35"/>
      <c r="D131" s="34" t="s">
        <v>2225</v>
      </c>
      <c r="E131" s="34" t="s">
        <v>4474</v>
      </c>
      <c r="F131" s="34" t="s">
        <v>6127</v>
      </c>
      <c r="G131" s="34" t="s">
        <v>6128</v>
      </c>
      <c r="H131" s="34" t="s">
        <v>6129</v>
      </c>
      <c r="I131" s="33" t="s">
        <v>84</v>
      </c>
      <c r="J131" s="34" t="s">
        <v>6130</v>
      </c>
      <c r="K131" s="35"/>
      <c r="L131" s="34" t="s">
        <v>5223</v>
      </c>
      <c r="M131" s="35" t="s">
        <v>29</v>
      </c>
      <c r="N131" s="34" t="s">
        <v>6131</v>
      </c>
      <c r="O131" s="35" t="s">
        <v>164</v>
      </c>
      <c r="P131" s="35" t="s">
        <v>2206</v>
      </c>
    </row>
    <row r="132" spans="1:16" ht="13.2" customHeight="1" x14ac:dyDescent="0.25">
      <c r="A132" s="33">
        <v>130</v>
      </c>
      <c r="B132" s="34" t="s">
        <v>6132</v>
      </c>
      <c r="C132" s="35"/>
      <c r="D132" s="34" t="s">
        <v>5454</v>
      </c>
      <c r="E132" s="34" t="s">
        <v>6036</v>
      </c>
      <c r="F132" s="34" t="s">
        <v>6037</v>
      </c>
      <c r="G132" s="34" t="s">
        <v>6061</v>
      </c>
      <c r="H132" s="34" t="s">
        <v>6062</v>
      </c>
      <c r="I132" s="33" t="s">
        <v>84</v>
      </c>
      <c r="J132" s="34" t="s">
        <v>6133</v>
      </c>
      <c r="K132" s="35"/>
      <c r="L132" s="34" t="s">
        <v>5223</v>
      </c>
      <c r="M132" s="35" t="s">
        <v>29</v>
      </c>
      <c r="N132" s="34" t="s">
        <v>6134</v>
      </c>
      <c r="O132" s="35" t="s">
        <v>164</v>
      </c>
      <c r="P132" s="35" t="s">
        <v>2317</v>
      </c>
    </row>
    <row r="133" spans="1:16" ht="13.2" customHeight="1" x14ac:dyDescent="0.25">
      <c r="A133" s="33">
        <v>131</v>
      </c>
      <c r="B133" s="34" t="s">
        <v>6135</v>
      </c>
      <c r="C133" s="35"/>
      <c r="D133" s="34" t="s">
        <v>621</v>
      </c>
      <c r="E133" s="34" t="s">
        <v>622</v>
      </c>
      <c r="F133" s="34" t="s">
        <v>623</v>
      </c>
      <c r="G133" s="34" t="s">
        <v>624</v>
      </c>
      <c r="H133" s="34" t="s">
        <v>6136</v>
      </c>
      <c r="I133" s="33" t="s">
        <v>84</v>
      </c>
      <c r="J133" s="34" t="s">
        <v>6137</v>
      </c>
      <c r="K133" s="35"/>
      <c r="L133" s="34" t="s">
        <v>5223</v>
      </c>
      <c r="M133" s="35" t="s">
        <v>29</v>
      </c>
      <c r="N133" s="34" t="s">
        <v>6138</v>
      </c>
      <c r="O133" s="35" t="s">
        <v>164</v>
      </c>
      <c r="P133" s="35" t="s">
        <v>2514</v>
      </c>
    </row>
    <row r="134" spans="1:16" ht="13.2" customHeight="1" x14ac:dyDescent="0.25">
      <c r="A134" s="33">
        <v>132</v>
      </c>
      <c r="B134" s="34" t="s">
        <v>6139</v>
      </c>
      <c r="C134" s="35"/>
      <c r="D134" s="34" t="s">
        <v>6140</v>
      </c>
      <c r="E134" s="34" t="s">
        <v>6141</v>
      </c>
      <c r="F134" s="34" t="s">
        <v>6142</v>
      </c>
      <c r="G134" s="34" t="s">
        <v>6143</v>
      </c>
      <c r="H134" s="34" t="s">
        <v>6144</v>
      </c>
      <c r="I134" s="33" t="s">
        <v>84</v>
      </c>
      <c r="J134" s="34" t="s">
        <v>6145</v>
      </c>
      <c r="K134" s="35"/>
      <c r="L134" s="34" t="s">
        <v>5223</v>
      </c>
      <c r="M134" s="35" t="s">
        <v>29</v>
      </c>
      <c r="N134" s="34" t="s">
        <v>6146</v>
      </c>
      <c r="O134" s="35" t="s">
        <v>816</v>
      </c>
      <c r="P134" s="35" t="s">
        <v>2629</v>
      </c>
    </row>
    <row r="135" spans="1:16" ht="13.2" customHeight="1" x14ac:dyDescent="0.25">
      <c r="A135" s="33">
        <v>133</v>
      </c>
      <c r="B135" s="34" t="s">
        <v>6147</v>
      </c>
      <c r="C135" s="35"/>
      <c r="D135" s="34" t="s">
        <v>6148</v>
      </c>
      <c r="E135" s="34" t="s">
        <v>6149</v>
      </c>
      <c r="F135" s="34" t="s">
        <v>6150</v>
      </c>
      <c r="G135" s="34" t="s">
        <v>6151</v>
      </c>
      <c r="H135" s="34" t="s">
        <v>6152</v>
      </c>
      <c r="I135" s="33" t="s">
        <v>84</v>
      </c>
      <c r="J135" s="34" t="s">
        <v>6153</v>
      </c>
      <c r="K135" s="35"/>
      <c r="L135" s="34" t="s">
        <v>5223</v>
      </c>
      <c r="M135" s="35" t="s">
        <v>29</v>
      </c>
      <c r="N135" s="34" t="s">
        <v>6154</v>
      </c>
      <c r="O135" s="35" t="s">
        <v>816</v>
      </c>
      <c r="P135" s="35" t="s">
        <v>2629</v>
      </c>
    </row>
    <row r="136" spans="1:16" ht="13.2" customHeight="1" x14ac:dyDescent="0.25">
      <c r="A136" s="33">
        <v>134</v>
      </c>
      <c r="B136" s="34" t="s">
        <v>6155</v>
      </c>
      <c r="C136" s="35"/>
      <c r="D136" s="34" t="s">
        <v>6156</v>
      </c>
      <c r="E136" s="34" t="s">
        <v>5236</v>
      </c>
      <c r="F136" s="34" t="s">
        <v>6157</v>
      </c>
      <c r="G136" s="34" t="s">
        <v>6158</v>
      </c>
      <c r="H136" s="34" t="s">
        <v>6159</v>
      </c>
      <c r="I136" s="33" t="s">
        <v>84</v>
      </c>
      <c r="J136" s="34" t="s">
        <v>6160</v>
      </c>
      <c r="K136" s="35"/>
      <c r="L136" s="34" t="s">
        <v>5223</v>
      </c>
      <c r="M136" s="35" t="s">
        <v>29</v>
      </c>
      <c r="N136" s="34" t="s">
        <v>6161</v>
      </c>
      <c r="O136" s="35" t="s">
        <v>816</v>
      </c>
      <c r="P136" s="35" t="s">
        <v>2629</v>
      </c>
    </row>
    <row r="137" spans="1:16" ht="13.2" customHeight="1" x14ac:dyDescent="0.25">
      <c r="A137" s="33">
        <v>135</v>
      </c>
      <c r="B137" s="34" t="s">
        <v>6162</v>
      </c>
      <c r="C137" s="35"/>
      <c r="D137" s="34" t="s">
        <v>6037</v>
      </c>
      <c r="E137" s="34" t="s">
        <v>6061</v>
      </c>
      <c r="F137" s="34" t="s">
        <v>6062</v>
      </c>
      <c r="G137" s="34" t="s">
        <v>6109</v>
      </c>
      <c r="H137" s="34" t="s">
        <v>6163</v>
      </c>
      <c r="I137" s="33" t="s">
        <v>84</v>
      </c>
      <c r="J137" s="34" t="s">
        <v>6164</v>
      </c>
      <c r="K137" s="35"/>
      <c r="L137" s="34" t="s">
        <v>5223</v>
      </c>
      <c r="M137" s="35" t="s">
        <v>29</v>
      </c>
      <c r="N137" s="34" t="s">
        <v>6165</v>
      </c>
      <c r="O137" s="35" t="s">
        <v>164</v>
      </c>
      <c r="P137" s="35" t="s">
        <v>3561</v>
      </c>
    </row>
    <row r="138" spans="1:16" ht="13.2" customHeight="1" x14ac:dyDescent="0.25">
      <c r="A138" s="33">
        <v>136</v>
      </c>
      <c r="B138" s="34" t="s">
        <v>6166</v>
      </c>
      <c r="C138" s="35"/>
      <c r="D138" s="34" t="s">
        <v>6167</v>
      </c>
      <c r="E138" s="34" t="s">
        <v>6168</v>
      </c>
      <c r="F138" s="34" t="s">
        <v>6169</v>
      </c>
      <c r="G138" s="34" t="s">
        <v>6170</v>
      </c>
      <c r="H138" s="34" t="s">
        <v>6171</v>
      </c>
      <c r="I138" s="33" t="s">
        <v>84</v>
      </c>
      <c r="J138" s="34" t="s">
        <v>6172</v>
      </c>
      <c r="K138" s="35"/>
      <c r="L138" s="34" t="s">
        <v>5223</v>
      </c>
      <c r="M138" s="35" t="s">
        <v>29</v>
      </c>
      <c r="N138" s="34" t="s">
        <v>4983</v>
      </c>
      <c r="O138" s="35" t="s">
        <v>164</v>
      </c>
      <c r="P138" s="35" t="s">
        <v>2705</v>
      </c>
    </row>
    <row r="139" spans="1:16" ht="13.2" customHeight="1" x14ac:dyDescent="0.25">
      <c r="A139" s="33">
        <v>137</v>
      </c>
      <c r="B139" s="34" t="s">
        <v>6173</v>
      </c>
      <c r="C139" s="35"/>
      <c r="D139" s="34" t="s">
        <v>6174</v>
      </c>
      <c r="E139" s="34" t="s">
        <v>6175</v>
      </c>
      <c r="F139" s="34" t="s">
        <v>6176</v>
      </c>
      <c r="G139" s="34" t="s">
        <v>5662</v>
      </c>
      <c r="H139" s="34" t="s">
        <v>6177</v>
      </c>
      <c r="I139" s="33" t="s">
        <v>84</v>
      </c>
      <c r="J139" s="34" t="s">
        <v>6178</v>
      </c>
      <c r="K139" s="35"/>
      <c r="L139" s="34" t="s">
        <v>5223</v>
      </c>
      <c r="M139" s="35" t="s">
        <v>29</v>
      </c>
      <c r="N139" s="34" t="s">
        <v>3606</v>
      </c>
      <c r="O139" s="35" t="s">
        <v>164</v>
      </c>
      <c r="P139" s="35" t="s">
        <v>2707</v>
      </c>
    </row>
    <row r="140" spans="1:16" ht="13.2" customHeight="1" x14ac:dyDescent="0.25">
      <c r="A140" s="33">
        <v>138</v>
      </c>
      <c r="B140" s="34" t="s">
        <v>6179</v>
      </c>
      <c r="C140" s="35"/>
      <c r="D140" s="34" t="s">
        <v>6054</v>
      </c>
      <c r="E140" s="34" t="s">
        <v>6035</v>
      </c>
      <c r="F140" s="34" t="s">
        <v>5454</v>
      </c>
      <c r="G140" s="34" t="s">
        <v>6036</v>
      </c>
      <c r="H140" s="34" t="s">
        <v>6037</v>
      </c>
      <c r="I140" s="33" t="s">
        <v>84</v>
      </c>
      <c r="J140" s="34" t="s">
        <v>6180</v>
      </c>
      <c r="K140" s="35"/>
      <c r="L140" s="34" t="s">
        <v>5223</v>
      </c>
      <c r="M140" s="35" t="s">
        <v>29</v>
      </c>
      <c r="N140" s="34" t="s">
        <v>6181</v>
      </c>
      <c r="O140" s="35" t="s">
        <v>164</v>
      </c>
      <c r="P140" s="35" t="s">
        <v>2709</v>
      </c>
    </row>
    <row r="141" spans="1:16" ht="13.2" customHeight="1" x14ac:dyDescent="0.25">
      <c r="A141" s="33">
        <v>139</v>
      </c>
      <c r="B141" s="34" t="s">
        <v>6182</v>
      </c>
      <c r="C141" s="35"/>
      <c r="D141" s="34" t="s">
        <v>6183</v>
      </c>
      <c r="E141" s="34" t="s">
        <v>6184</v>
      </c>
      <c r="F141" s="34" t="s">
        <v>6185</v>
      </c>
      <c r="G141" s="34" t="s">
        <v>2266</v>
      </c>
      <c r="H141" s="34" t="s">
        <v>6186</v>
      </c>
      <c r="I141" s="33" t="s">
        <v>84</v>
      </c>
      <c r="J141" s="34" t="s">
        <v>6187</v>
      </c>
      <c r="K141" s="35"/>
      <c r="L141" s="34" t="s">
        <v>5223</v>
      </c>
      <c r="M141" s="35" t="s">
        <v>29</v>
      </c>
      <c r="N141" s="34" t="s">
        <v>2556</v>
      </c>
      <c r="O141" s="35" t="s">
        <v>816</v>
      </c>
      <c r="P141" s="35" t="s">
        <v>2710</v>
      </c>
    </row>
    <row r="142" spans="1:16" ht="13.2" customHeight="1" x14ac:dyDescent="0.25">
      <c r="A142" s="33">
        <v>140</v>
      </c>
      <c r="B142" s="34" t="s">
        <v>6188</v>
      </c>
      <c r="C142" s="35"/>
      <c r="D142" s="34" t="s">
        <v>6189</v>
      </c>
      <c r="E142" s="34" t="s">
        <v>6190</v>
      </c>
      <c r="F142" s="34" t="s">
        <v>6191</v>
      </c>
      <c r="G142" s="34" t="s">
        <v>6192</v>
      </c>
      <c r="H142" s="34" t="s">
        <v>6193</v>
      </c>
      <c r="I142" s="33">
        <v>4</v>
      </c>
      <c r="J142" s="34" t="s">
        <v>6194</v>
      </c>
      <c r="K142" s="35"/>
      <c r="L142" s="34" t="s">
        <v>5223</v>
      </c>
      <c r="M142" s="35" t="s">
        <v>29</v>
      </c>
      <c r="N142" s="34" t="s">
        <v>6195</v>
      </c>
      <c r="O142" s="35" t="s">
        <v>816</v>
      </c>
      <c r="P142" s="35" t="s">
        <v>2710</v>
      </c>
    </row>
    <row r="143" spans="1:16" ht="13.2" customHeight="1" x14ac:dyDescent="0.25">
      <c r="A143" s="33">
        <v>141</v>
      </c>
      <c r="B143" s="34" t="s">
        <v>6196</v>
      </c>
      <c r="C143" s="35"/>
      <c r="D143" s="34" t="s">
        <v>6197</v>
      </c>
      <c r="E143" s="34" t="s">
        <v>5660</v>
      </c>
      <c r="F143" s="34" t="s">
        <v>5663</v>
      </c>
      <c r="G143" s="34" t="s">
        <v>6198</v>
      </c>
      <c r="H143" s="34" t="s">
        <v>5659</v>
      </c>
      <c r="I143" s="33" t="s">
        <v>84</v>
      </c>
      <c r="J143" s="34" t="s">
        <v>6199</v>
      </c>
      <c r="K143" s="35"/>
      <c r="L143" s="34" t="s">
        <v>5223</v>
      </c>
      <c r="M143" s="35" t="s">
        <v>29</v>
      </c>
      <c r="N143" s="34" t="s">
        <v>3864</v>
      </c>
      <c r="O143" s="35" t="s">
        <v>816</v>
      </c>
      <c r="P143" s="35" t="s">
        <v>2710</v>
      </c>
    </row>
    <row r="144" spans="1:16" ht="13.2" customHeight="1" x14ac:dyDescent="0.25">
      <c r="A144" s="33">
        <v>142</v>
      </c>
      <c r="B144" s="34" t="s">
        <v>6200</v>
      </c>
      <c r="C144" s="35"/>
      <c r="D144" s="34" t="s">
        <v>6053</v>
      </c>
      <c r="E144" s="34" t="s">
        <v>6054</v>
      </c>
      <c r="F144" s="34" t="s">
        <v>6035</v>
      </c>
      <c r="G144" s="34" t="s">
        <v>5454</v>
      </c>
      <c r="H144" s="34" t="s">
        <v>6036</v>
      </c>
      <c r="I144" s="33" t="s">
        <v>84</v>
      </c>
      <c r="J144" s="34" t="s">
        <v>6201</v>
      </c>
      <c r="K144" s="35"/>
      <c r="L144" s="34" t="s">
        <v>5223</v>
      </c>
      <c r="M144" s="35" t="s">
        <v>29</v>
      </c>
      <c r="N144" s="34" t="s">
        <v>6202</v>
      </c>
      <c r="O144" s="35" t="s">
        <v>816</v>
      </c>
      <c r="P144" s="35" t="s">
        <v>2710</v>
      </c>
    </row>
    <row r="145" spans="1:16" ht="13.2" customHeight="1" x14ac:dyDescent="0.25">
      <c r="A145" s="33">
        <v>143</v>
      </c>
      <c r="B145" s="34" t="s">
        <v>6203</v>
      </c>
      <c r="C145" s="35"/>
      <c r="D145" s="34" t="s">
        <v>6204</v>
      </c>
      <c r="E145" s="34" t="s">
        <v>6205</v>
      </c>
      <c r="F145" s="34" t="s">
        <v>6206</v>
      </c>
      <c r="G145" s="34" t="s">
        <v>6207</v>
      </c>
      <c r="H145" s="34" t="s">
        <v>6208</v>
      </c>
      <c r="I145" s="33" t="s">
        <v>90</v>
      </c>
      <c r="J145" s="34" t="s">
        <v>6209</v>
      </c>
      <c r="K145" s="35"/>
      <c r="L145" s="34" t="s">
        <v>5223</v>
      </c>
      <c r="M145" s="35" t="s">
        <v>29</v>
      </c>
      <c r="N145" s="34" t="s">
        <v>3819</v>
      </c>
      <c r="O145" s="35" t="s">
        <v>816</v>
      </c>
      <c r="P145" s="35" t="s">
        <v>2710</v>
      </c>
    </row>
    <row r="146" spans="1:16" ht="13.2" customHeight="1" x14ac:dyDescent="0.25">
      <c r="A146" s="33">
        <v>144</v>
      </c>
      <c r="B146" s="34" t="s">
        <v>6210</v>
      </c>
      <c r="C146" s="35"/>
      <c r="D146" s="34" t="s">
        <v>6061</v>
      </c>
      <c r="E146" s="34" t="s">
        <v>6062</v>
      </c>
      <c r="F146" s="34" t="s">
        <v>6109</v>
      </c>
      <c r="G146" s="34" t="s">
        <v>6163</v>
      </c>
      <c r="H146" s="34" t="s">
        <v>6097</v>
      </c>
      <c r="I146" s="33" t="s">
        <v>84</v>
      </c>
      <c r="J146" s="34" t="s">
        <v>6211</v>
      </c>
      <c r="K146" s="35"/>
      <c r="L146" s="34" t="s">
        <v>5223</v>
      </c>
      <c r="M146" s="35" t="s">
        <v>29</v>
      </c>
      <c r="N146" s="34" t="s">
        <v>1669</v>
      </c>
      <c r="O146" s="35" t="s">
        <v>816</v>
      </c>
      <c r="P146" s="35" t="s">
        <v>2711</v>
      </c>
    </row>
    <row r="147" spans="1:16" ht="13.2" customHeight="1" x14ac:dyDescent="0.25">
      <c r="A147" s="33">
        <v>145</v>
      </c>
      <c r="B147" s="34" t="s">
        <v>6212</v>
      </c>
      <c r="C147" s="35"/>
      <c r="D147" s="34" t="s">
        <v>6163</v>
      </c>
      <c r="E147" s="34" t="s">
        <v>6097</v>
      </c>
      <c r="F147" s="34" t="s">
        <v>6051</v>
      </c>
      <c r="G147" s="34" t="s">
        <v>6052</v>
      </c>
      <c r="H147" s="34" t="s">
        <v>6053</v>
      </c>
      <c r="I147" s="33" t="s">
        <v>123</v>
      </c>
      <c r="J147" s="34" t="s">
        <v>6213</v>
      </c>
      <c r="K147" s="35"/>
      <c r="L147" s="34" t="s">
        <v>5223</v>
      </c>
      <c r="M147" s="35" t="s">
        <v>29</v>
      </c>
      <c r="N147" s="34" t="s">
        <v>1669</v>
      </c>
      <c r="O147" s="35" t="s">
        <v>816</v>
      </c>
      <c r="P147" s="35" t="s">
        <v>2711</v>
      </c>
    </row>
    <row r="148" spans="1:16" ht="13.2" customHeight="1" x14ac:dyDescent="0.25">
      <c r="A148" s="33">
        <v>146</v>
      </c>
      <c r="B148" s="34" t="s">
        <v>6214</v>
      </c>
      <c r="C148" s="35"/>
      <c r="D148" s="34" t="s">
        <v>6052</v>
      </c>
      <c r="E148" s="34" t="s">
        <v>6053</v>
      </c>
      <c r="F148" s="34" t="s">
        <v>6054</v>
      </c>
      <c r="G148" s="34" t="s">
        <v>6035</v>
      </c>
      <c r="H148" s="34" t="s">
        <v>5454</v>
      </c>
      <c r="I148" s="33" t="s">
        <v>84</v>
      </c>
      <c r="J148" s="34" t="s">
        <v>6215</v>
      </c>
      <c r="K148" s="35"/>
      <c r="L148" s="34" t="s">
        <v>5223</v>
      </c>
      <c r="M148" s="35" t="s">
        <v>29</v>
      </c>
      <c r="N148" s="34" t="s">
        <v>1669</v>
      </c>
      <c r="O148" s="35" t="s">
        <v>816</v>
      </c>
      <c r="P148" s="35" t="s">
        <v>2711</v>
      </c>
    </row>
    <row r="149" spans="1:16" ht="13.2" customHeight="1" x14ac:dyDescent="0.25">
      <c r="A149" s="33">
        <v>147</v>
      </c>
      <c r="B149" s="34" t="s">
        <v>6216</v>
      </c>
      <c r="C149" s="35"/>
      <c r="D149" s="34" t="s">
        <v>6035</v>
      </c>
      <c r="E149" s="34" t="s">
        <v>5454</v>
      </c>
      <c r="F149" s="34" t="s">
        <v>6036</v>
      </c>
      <c r="G149" s="34" t="s">
        <v>6037</v>
      </c>
      <c r="H149" s="34" t="s">
        <v>6061</v>
      </c>
      <c r="I149" s="33" t="s">
        <v>84</v>
      </c>
      <c r="J149" s="34" t="s">
        <v>6217</v>
      </c>
      <c r="K149" s="35"/>
      <c r="L149" s="34" t="s">
        <v>5223</v>
      </c>
      <c r="M149" s="35" t="s">
        <v>29</v>
      </c>
      <c r="N149" s="34" t="s">
        <v>2655</v>
      </c>
      <c r="O149" s="35" t="s">
        <v>816</v>
      </c>
      <c r="P149" s="35" t="s">
        <v>2711</v>
      </c>
    </row>
    <row r="150" spans="1:16" ht="13.2" customHeight="1" x14ac:dyDescent="0.25">
      <c r="A150" s="33">
        <v>148</v>
      </c>
      <c r="B150" s="34" t="s">
        <v>6218</v>
      </c>
      <c r="C150" s="35"/>
      <c r="D150" s="34" t="s">
        <v>6037</v>
      </c>
      <c r="E150" s="34" t="s">
        <v>6061</v>
      </c>
      <c r="F150" s="34" t="s">
        <v>6062</v>
      </c>
      <c r="G150" s="34" t="s">
        <v>6109</v>
      </c>
      <c r="H150" s="34" t="s">
        <v>6163</v>
      </c>
      <c r="I150" s="33" t="s">
        <v>84</v>
      </c>
      <c r="J150" s="34" t="s">
        <v>6219</v>
      </c>
      <c r="K150" s="35"/>
      <c r="L150" s="34" t="s">
        <v>5223</v>
      </c>
      <c r="M150" s="35" t="s">
        <v>29</v>
      </c>
      <c r="N150" s="34" t="s">
        <v>3936</v>
      </c>
      <c r="O150" s="35" t="s">
        <v>816</v>
      </c>
      <c r="P150" s="35" t="s">
        <v>2711</v>
      </c>
    </row>
    <row r="151" spans="1:16" ht="13.2" customHeight="1" x14ac:dyDescent="0.25">
      <c r="A151" s="33">
        <v>149</v>
      </c>
      <c r="B151" s="34" t="s">
        <v>6220</v>
      </c>
      <c r="C151" s="35"/>
      <c r="D151" s="34" t="s">
        <v>6109</v>
      </c>
      <c r="E151" s="34" t="s">
        <v>6163</v>
      </c>
      <c r="F151" s="34" t="s">
        <v>6097</v>
      </c>
      <c r="G151" s="34" t="s">
        <v>6051</v>
      </c>
      <c r="H151" s="34" t="s">
        <v>6052</v>
      </c>
      <c r="I151" s="33" t="s">
        <v>84</v>
      </c>
      <c r="J151" s="34" t="s">
        <v>6221</v>
      </c>
      <c r="K151" s="35"/>
      <c r="L151" s="34" t="s">
        <v>5223</v>
      </c>
      <c r="M151" s="35" t="s">
        <v>29</v>
      </c>
      <c r="N151" s="34" t="s">
        <v>3900</v>
      </c>
      <c r="O151" s="35" t="s">
        <v>816</v>
      </c>
      <c r="P151" s="35" t="s">
        <v>2711</v>
      </c>
    </row>
    <row r="152" spans="1:16" ht="13.2" customHeight="1" x14ac:dyDescent="0.25">
      <c r="A152" s="33">
        <v>150</v>
      </c>
      <c r="B152" s="34" t="s">
        <v>6222</v>
      </c>
      <c r="C152" s="35"/>
      <c r="D152" s="34" t="s">
        <v>6051</v>
      </c>
      <c r="E152" s="34" t="s">
        <v>6052</v>
      </c>
      <c r="F152" s="34" t="s">
        <v>6053</v>
      </c>
      <c r="G152" s="34" t="s">
        <v>6054</v>
      </c>
      <c r="H152" s="34" t="s">
        <v>6035</v>
      </c>
      <c r="I152" s="33" t="s">
        <v>84</v>
      </c>
      <c r="J152" s="34" t="s">
        <v>6223</v>
      </c>
      <c r="K152" s="35"/>
      <c r="L152" s="34" t="s">
        <v>5223</v>
      </c>
      <c r="M152" s="35" t="s">
        <v>29</v>
      </c>
      <c r="N152" s="34" t="s">
        <v>2655</v>
      </c>
      <c r="O152" s="35" t="s">
        <v>816</v>
      </c>
      <c r="P152" s="35" t="s">
        <v>2711</v>
      </c>
    </row>
    <row r="153" spans="1:16" ht="13.2" customHeight="1" x14ac:dyDescent="0.25">
      <c r="A153" s="33">
        <v>151</v>
      </c>
      <c r="B153" s="34" t="s">
        <v>6224</v>
      </c>
      <c r="C153" s="35"/>
      <c r="D153" s="34" t="s">
        <v>6054</v>
      </c>
      <c r="E153" s="34" t="s">
        <v>6035</v>
      </c>
      <c r="F153" s="34" t="s">
        <v>5454</v>
      </c>
      <c r="G153" s="34" t="s">
        <v>6036</v>
      </c>
      <c r="H153" s="34" t="s">
        <v>6037</v>
      </c>
      <c r="I153" s="33" t="s">
        <v>84</v>
      </c>
      <c r="J153" s="34" t="s">
        <v>6180</v>
      </c>
      <c r="K153" s="35"/>
      <c r="L153" s="34" t="s">
        <v>5223</v>
      </c>
      <c r="M153" s="35" t="s">
        <v>29</v>
      </c>
      <c r="N153" s="34" t="s">
        <v>6225</v>
      </c>
      <c r="O153" s="35" t="s">
        <v>816</v>
      </c>
      <c r="P153" s="35" t="s">
        <v>2711</v>
      </c>
    </row>
    <row r="154" spans="1:16" ht="13.2" customHeight="1" x14ac:dyDescent="0.25">
      <c r="A154" s="33">
        <v>152</v>
      </c>
      <c r="B154" s="34" t="s">
        <v>6226</v>
      </c>
      <c r="C154" s="35"/>
      <c r="D154" s="34" t="s">
        <v>6036</v>
      </c>
      <c r="E154" s="34" t="s">
        <v>6037</v>
      </c>
      <c r="F154" s="34" t="s">
        <v>6061</v>
      </c>
      <c r="G154" s="34" t="s">
        <v>6062</v>
      </c>
      <c r="H154" s="34" t="s">
        <v>6109</v>
      </c>
      <c r="I154" s="33" t="s">
        <v>84</v>
      </c>
      <c r="J154" s="34" t="s">
        <v>6227</v>
      </c>
      <c r="K154" s="35"/>
      <c r="L154" s="34" t="s">
        <v>5223</v>
      </c>
      <c r="M154" s="35" t="s">
        <v>29</v>
      </c>
      <c r="N154" s="34" t="s">
        <v>3936</v>
      </c>
      <c r="O154" s="35" t="s">
        <v>816</v>
      </c>
      <c r="P154" s="35" t="s">
        <v>2711</v>
      </c>
    </row>
    <row r="155" spans="1:16" ht="13.2" customHeight="1" x14ac:dyDescent="0.25">
      <c r="A155" s="33">
        <v>153</v>
      </c>
      <c r="B155" s="34" t="s">
        <v>6228</v>
      </c>
      <c r="C155" s="35"/>
      <c r="D155" s="34" t="s">
        <v>6062</v>
      </c>
      <c r="E155" s="34" t="s">
        <v>6109</v>
      </c>
      <c r="F155" s="34" t="s">
        <v>6163</v>
      </c>
      <c r="G155" s="34" t="s">
        <v>6097</v>
      </c>
      <c r="H155" s="34" t="s">
        <v>6051</v>
      </c>
      <c r="I155" s="33" t="s">
        <v>84</v>
      </c>
      <c r="J155" s="34" t="s">
        <v>6229</v>
      </c>
      <c r="K155" s="35"/>
      <c r="L155" s="34" t="s">
        <v>5223</v>
      </c>
      <c r="M155" s="35" t="s">
        <v>29</v>
      </c>
      <c r="N155" s="34" t="s">
        <v>6230</v>
      </c>
      <c r="O155" s="35" t="s">
        <v>816</v>
      </c>
      <c r="P155" s="35" t="s">
        <v>2711</v>
      </c>
    </row>
    <row r="156" spans="1:16" ht="13.2" customHeight="1" x14ac:dyDescent="0.25">
      <c r="A156" s="33">
        <v>154</v>
      </c>
      <c r="B156" s="34" t="s">
        <v>6231</v>
      </c>
      <c r="C156" s="35"/>
      <c r="D156" s="34" t="s">
        <v>6097</v>
      </c>
      <c r="E156" s="34" t="s">
        <v>6051</v>
      </c>
      <c r="F156" s="34" t="s">
        <v>6052</v>
      </c>
      <c r="G156" s="34" t="s">
        <v>6053</v>
      </c>
      <c r="H156" s="34" t="s">
        <v>6054</v>
      </c>
      <c r="I156" s="33" t="s">
        <v>84</v>
      </c>
      <c r="J156" s="34" t="s">
        <v>6232</v>
      </c>
      <c r="K156" s="35"/>
      <c r="L156" s="34" t="s">
        <v>5223</v>
      </c>
      <c r="M156" s="35" t="s">
        <v>29</v>
      </c>
      <c r="N156" s="34" t="s">
        <v>3900</v>
      </c>
      <c r="O156" s="35" t="s">
        <v>816</v>
      </c>
      <c r="P156" s="35" t="s">
        <v>2711</v>
      </c>
    </row>
    <row r="157" spans="1:16" ht="13.2" customHeight="1" x14ac:dyDescent="0.25">
      <c r="A157" s="33">
        <v>155</v>
      </c>
      <c r="B157" s="34" t="s">
        <v>6233</v>
      </c>
      <c r="C157" s="35"/>
      <c r="D157" s="34" t="s">
        <v>6053</v>
      </c>
      <c r="E157" s="34" t="s">
        <v>6054</v>
      </c>
      <c r="F157" s="34" t="s">
        <v>6035</v>
      </c>
      <c r="G157" s="34" t="s">
        <v>5454</v>
      </c>
      <c r="H157" s="34" t="s">
        <v>6036</v>
      </c>
      <c r="I157" s="33" t="s">
        <v>84</v>
      </c>
      <c r="J157" s="34" t="s">
        <v>6234</v>
      </c>
      <c r="K157" s="35"/>
      <c r="L157" s="34" t="s">
        <v>5223</v>
      </c>
      <c r="M157" s="35" t="s">
        <v>29</v>
      </c>
      <c r="N157" s="34" t="s">
        <v>2655</v>
      </c>
      <c r="O157" s="35" t="s">
        <v>816</v>
      </c>
      <c r="P157" s="35" t="s">
        <v>2711</v>
      </c>
    </row>
    <row r="158" spans="1:16" ht="13.2" customHeight="1" x14ac:dyDescent="0.25">
      <c r="A158" s="33">
        <v>156</v>
      </c>
      <c r="B158" s="34" t="s">
        <v>6235</v>
      </c>
      <c r="C158" s="35"/>
      <c r="D158" s="34" t="s">
        <v>5454</v>
      </c>
      <c r="E158" s="34" t="s">
        <v>6036</v>
      </c>
      <c r="F158" s="34" t="s">
        <v>6037</v>
      </c>
      <c r="G158" s="34" t="s">
        <v>6061</v>
      </c>
      <c r="H158" s="34" t="s">
        <v>6062</v>
      </c>
      <c r="I158" s="33" t="s">
        <v>84</v>
      </c>
      <c r="J158" s="34" t="s">
        <v>6236</v>
      </c>
      <c r="K158" s="35"/>
      <c r="L158" s="34" t="s">
        <v>5223</v>
      </c>
      <c r="M158" s="35" t="s">
        <v>29</v>
      </c>
      <c r="N158" s="34" t="s">
        <v>3900</v>
      </c>
      <c r="O158" s="35" t="s">
        <v>816</v>
      </c>
      <c r="P158" s="35" t="s">
        <v>2711</v>
      </c>
    </row>
    <row r="159" spans="1:16" ht="13.2" customHeight="1" x14ac:dyDescent="0.25">
      <c r="A159" s="33">
        <v>157</v>
      </c>
      <c r="B159" s="34" t="s">
        <v>6237</v>
      </c>
      <c r="C159" s="35"/>
      <c r="D159" s="34" t="s">
        <v>6061</v>
      </c>
      <c r="E159" s="34" t="s">
        <v>6062</v>
      </c>
      <c r="F159" s="34" t="s">
        <v>6109</v>
      </c>
      <c r="G159" s="34" t="s">
        <v>6163</v>
      </c>
      <c r="H159" s="34" t="s">
        <v>6097</v>
      </c>
      <c r="I159" s="33" t="s">
        <v>84</v>
      </c>
      <c r="J159" s="34" t="s">
        <v>6211</v>
      </c>
      <c r="K159" s="35"/>
      <c r="L159" s="34" t="s">
        <v>5223</v>
      </c>
      <c r="M159" s="35" t="s">
        <v>29</v>
      </c>
      <c r="N159" s="34" t="s">
        <v>1669</v>
      </c>
      <c r="O159" s="35" t="s">
        <v>816</v>
      </c>
      <c r="P159" s="35" t="s">
        <v>2711</v>
      </c>
    </row>
    <row r="160" spans="1:16" ht="13.2" customHeight="1" x14ac:dyDescent="0.25">
      <c r="A160" s="33">
        <v>158</v>
      </c>
      <c r="B160" s="34" t="s">
        <v>6238</v>
      </c>
      <c r="C160" s="35"/>
      <c r="D160" s="34" t="s">
        <v>6163</v>
      </c>
      <c r="E160" s="34" t="s">
        <v>6097</v>
      </c>
      <c r="F160" s="34" t="s">
        <v>6051</v>
      </c>
      <c r="G160" s="34" t="s">
        <v>6052</v>
      </c>
      <c r="H160" s="34" t="s">
        <v>6053</v>
      </c>
      <c r="I160" s="33" t="s">
        <v>84</v>
      </c>
      <c r="J160" s="34" t="s">
        <v>6239</v>
      </c>
      <c r="K160" s="35"/>
      <c r="L160" s="34" t="s">
        <v>5223</v>
      </c>
      <c r="M160" s="35" t="s">
        <v>29</v>
      </c>
      <c r="N160" s="34" t="s">
        <v>3887</v>
      </c>
      <c r="O160" s="35" t="s">
        <v>816</v>
      </c>
      <c r="P160" s="35" t="s">
        <v>2711</v>
      </c>
    </row>
    <row r="161" spans="1:16" ht="13.2" customHeight="1" x14ac:dyDescent="0.25">
      <c r="A161" s="33">
        <v>159</v>
      </c>
      <c r="B161" s="34" t="s">
        <v>6240</v>
      </c>
      <c r="C161" s="35"/>
      <c r="D161" s="34" t="s">
        <v>6241</v>
      </c>
      <c r="E161" s="34" t="s">
        <v>6242</v>
      </c>
      <c r="F161" s="34" t="s">
        <v>6243</v>
      </c>
      <c r="G161" s="34" t="s">
        <v>6244</v>
      </c>
      <c r="H161" s="34" t="s">
        <v>6245</v>
      </c>
      <c r="I161" s="33" t="s">
        <v>113</v>
      </c>
      <c r="J161" s="34" t="s">
        <v>6246</v>
      </c>
      <c r="K161" s="35"/>
      <c r="L161" s="34" t="s">
        <v>5223</v>
      </c>
      <c r="M161" s="35" t="s">
        <v>29</v>
      </c>
      <c r="N161" s="34" t="s">
        <v>6247</v>
      </c>
      <c r="O161" s="35" t="s">
        <v>816</v>
      </c>
      <c r="P161" s="35" t="s">
        <v>2711</v>
      </c>
    </row>
    <row r="162" spans="1:16" ht="64.95" customHeight="1" x14ac:dyDescent="0.75">
      <c r="A162" s="35">
        <v>160</v>
      </c>
      <c r="B162" s="34" t="s">
        <v>6248</v>
      </c>
      <c r="C162" s="45"/>
      <c r="D162" s="34" t="s">
        <v>5739</v>
      </c>
      <c r="E162" s="34" t="s">
        <v>5740</v>
      </c>
      <c r="F162" s="34" t="s">
        <v>5741</v>
      </c>
      <c r="G162" s="34" t="s">
        <v>5742</v>
      </c>
      <c r="H162" s="34" t="s">
        <v>5743</v>
      </c>
      <c r="I162" s="35">
        <v>2</v>
      </c>
      <c r="J162" s="34" t="s">
        <v>6249</v>
      </c>
      <c r="K162" s="45"/>
      <c r="L162" s="35" t="s">
        <v>904</v>
      </c>
      <c r="M162" s="35" t="s">
        <v>29</v>
      </c>
      <c r="N162" s="34" t="s">
        <v>6250</v>
      </c>
    </row>
    <row r="163" spans="1:16" ht="64.95" customHeight="1" x14ac:dyDescent="0.75">
      <c r="A163" s="35">
        <v>161</v>
      </c>
      <c r="B163" s="34" t="s">
        <v>6251</v>
      </c>
      <c r="C163" s="45"/>
      <c r="D163" s="34" t="s">
        <v>6252</v>
      </c>
      <c r="E163" s="34" t="s">
        <v>6253</v>
      </c>
      <c r="F163" s="34" t="s">
        <v>6254</v>
      </c>
      <c r="G163" s="34" t="s">
        <v>6255</v>
      </c>
      <c r="H163" s="34" t="s">
        <v>6256</v>
      </c>
      <c r="I163" s="35">
        <v>2</v>
      </c>
      <c r="J163" s="34" t="s">
        <v>6257</v>
      </c>
      <c r="K163" s="45"/>
      <c r="L163" s="35" t="s">
        <v>904</v>
      </c>
      <c r="M163" s="35" t="s">
        <v>29</v>
      </c>
      <c r="N163" s="34" t="s">
        <v>6258</v>
      </c>
    </row>
    <row r="164" spans="1:16" ht="64.95" customHeight="1" x14ac:dyDescent="0.75">
      <c r="A164" s="35">
        <v>162</v>
      </c>
      <c r="B164" s="34" t="s">
        <v>6259</v>
      </c>
      <c r="C164" s="45"/>
      <c r="D164" s="34" t="s">
        <v>5755</v>
      </c>
      <c r="E164" s="34" t="s">
        <v>5756</v>
      </c>
      <c r="F164" s="34" t="s">
        <v>5757</v>
      </c>
      <c r="G164" s="34" t="s">
        <v>5758</v>
      </c>
      <c r="H164" s="34" t="s">
        <v>5759</v>
      </c>
      <c r="I164" s="35">
        <v>3</v>
      </c>
      <c r="J164" s="34" t="s">
        <v>6260</v>
      </c>
      <c r="K164" s="45"/>
      <c r="L164" s="35" t="s">
        <v>6261</v>
      </c>
      <c r="M164" s="35" t="s">
        <v>29</v>
      </c>
      <c r="N164" s="34" t="s">
        <v>6262</v>
      </c>
    </row>
    <row r="165" spans="1:16" ht="64.95" customHeight="1" x14ac:dyDescent="0.75">
      <c r="A165" s="35">
        <v>163</v>
      </c>
      <c r="B165" s="34" t="s">
        <v>6263</v>
      </c>
      <c r="C165" s="45"/>
      <c r="D165" s="34" t="s">
        <v>5763</v>
      </c>
      <c r="E165" s="34" t="s">
        <v>5764</v>
      </c>
      <c r="F165" s="34" t="s">
        <v>5765</v>
      </c>
      <c r="G165" s="34" t="s">
        <v>5766</v>
      </c>
      <c r="H165" s="34" t="s">
        <v>5767</v>
      </c>
      <c r="I165" s="35">
        <v>2</v>
      </c>
      <c r="J165" s="34" t="s">
        <v>6264</v>
      </c>
      <c r="K165" s="45"/>
      <c r="L165" s="35" t="s">
        <v>904</v>
      </c>
      <c r="M165" s="35" t="s">
        <v>29</v>
      </c>
      <c r="N165" s="34" t="s">
        <v>6265</v>
      </c>
    </row>
    <row r="166" spans="1:16" ht="64.95" customHeight="1" x14ac:dyDescent="0.75">
      <c r="A166" s="35">
        <v>164</v>
      </c>
      <c r="B166" s="34" t="s">
        <v>6266</v>
      </c>
      <c r="C166" s="45"/>
      <c r="D166" s="34" t="s">
        <v>5771</v>
      </c>
      <c r="E166" s="34" t="s">
        <v>5772</v>
      </c>
      <c r="F166" s="34" t="s">
        <v>5773</v>
      </c>
      <c r="G166" s="34" t="s">
        <v>5774</v>
      </c>
      <c r="H166" s="34" t="s">
        <v>5775</v>
      </c>
      <c r="I166" s="35">
        <v>2</v>
      </c>
      <c r="J166" s="34" t="s">
        <v>6267</v>
      </c>
      <c r="K166" s="45"/>
      <c r="L166" s="35" t="s">
        <v>904</v>
      </c>
      <c r="M166" s="35" t="s">
        <v>29</v>
      </c>
      <c r="N166" s="34" t="s">
        <v>6268</v>
      </c>
    </row>
    <row r="167" spans="1:16" ht="64.95" customHeight="1" x14ac:dyDescent="0.75">
      <c r="A167" s="35">
        <v>165</v>
      </c>
      <c r="B167" s="34" t="s">
        <v>6269</v>
      </c>
      <c r="C167" s="45"/>
      <c r="D167" s="34" t="s">
        <v>5779</v>
      </c>
      <c r="E167" s="34" t="s">
        <v>5780</v>
      </c>
      <c r="F167" s="34" t="s">
        <v>5781</v>
      </c>
      <c r="G167" s="34" t="s">
        <v>5782</v>
      </c>
      <c r="H167" s="34" t="s">
        <v>5783</v>
      </c>
      <c r="I167" s="35">
        <v>3</v>
      </c>
      <c r="J167" s="34" t="s">
        <v>6270</v>
      </c>
      <c r="K167" s="45"/>
      <c r="L167" s="35" t="s">
        <v>904</v>
      </c>
      <c r="M167" s="35" t="s">
        <v>29</v>
      </c>
      <c r="N167" s="34" t="s">
        <v>6271</v>
      </c>
    </row>
    <row r="168" spans="1:16" ht="64.95" customHeight="1" x14ac:dyDescent="0.75">
      <c r="A168" s="35">
        <v>166</v>
      </c>
      <c r="B168" s="34" t="s">
        <v>6272</v>
      </c>
      <c r="C168" s="45"/>
      <c r="D168" s="34" t="s">
        <v>5787</v>
      </c>
      <c r="E168" s="34" t="s">
        <v>5788</v>
      </c>
      <c r="F168" s="34" t="s">
        <v>5789</v>
      </c>
      <c r="G168" s="34" t="s">
        <v>5790</v>
      </c>
      <c r="H168" s="34" t="s">
        <v>5791</v>
      </c>
      <c r="I168" s="35">
        <v>3</v>
      </c>
      <c r="J168" s="34" t="s">
        <v>6273</v>
      </c>
      <c r="K168" s="45"/>
      <c r="L168" s="35" t="s">
        <v>904</v>
      </c>
      <c r="M168" s="35" t="s">
        <v>29</v>
      </c>
      <c r="N168" s="34" t="s">
        <v>6274</v>
      </c>
    </row>
    <row r="169" spans="1:16" ht="64.95" customHeight="1" x14ac:dyDescent="0.75">
      <c r="A169" s="35">
        <v>167</v>
      </c>
      <c r="B169" s="34" t="s">
        <v>6275</v>
      </c>
      <c r="C169" s="45"/>
      <c r="D169" s="34" t="s">
        <v>5795</v>
      </c>
      <c r="E169" s="34" t="s">
        <v>5796</v>
      </c>
      <c r="F169" s="34" t="s">
        <v>5797</v>
      </c>
      <c r="G169" s="34" t="s">
        <v>5798</v>
      </c>
      <c r="H169" s="34" t="s">
        <v>5799</v>
      </c>
      <c r="I169" s="35">
        <v>2</v>
      </c>
      <c r="J169" s="34" t="s">
        <v>6276</v>
      </c>
      <c r="K169" s="45"/>
      <c r="L169" s="35" t="s">
        <v>904</v>
      </c>
      <c r="M169" s="35" t="s">
        <v>29</v>
      </c>
      <c r="N169" s="34" t="s">
        <v>6277</v>
      </c>
    </row>
    <row r="170" spans="1:16" ht="64.95" customHeight="1" x14ac:dyDescent="0.75">
      <c r="A170" s="35">
        <v>168</v>
      </c>
      <c r="B170" s="34" t="s">
        <v>6278</v>
      </c>
      <c r="C170" s="45"/>
      <c r="D170" s="34" t="s">
        <v>5803</v>
      </c>
      <c r="E170" s="34" t="s">
        <v>5804</v>
      </c>
      <c r="F170" s="34" t="s">
        <v>5805</v>
      </c>
      <c r="G170" s="34" t="s">
        <v>5806</v>
      </c>
      <c r="H170" s="34" t="s">
        <v>5807</v>
      </c>
      <c r="I170" s="35">
        <v>2</v>
      </c>
      <c r="J170" s="34" t="s">
        <v>6279</v>
      </c>
      <c r="K170" s="45"/>
      <c r="L170" s="35" t="s">
        <v>5223</v>
      </c>
      <c r="M170" s="35" t="s">
        <v>29</v>
      </c>
      <c r="N170" s="34" t="s">
        <v>6280</v>
      </c>
    </row>
    <row r="171" spans="1:16" ht="64.95" customHeight="1" x14ac:dyDescent="0.75">
      <c r="A171" s="35">
        <v>169</v>
      </c>
      <c r="B171" s="34" t="s">
        <v>6281</v>
      </c>
      <c r="C171" s="45"/>
      <c r="D171" s="34" t="s">
        <v>5811</v>
      </c>
      <c r="E171" s="34" t="s">
        <v>5812</v>
      </c>
      <c r="F171" s="34" t="s">
        <v>5813</v>
      </c>
      <c r="G171" s="34" t="s">
        <v>5814</v>
      </c>
      <c r="H171" s="34" t="s">
        <v>5815</v>
      </c>
      <c r="I171" s="35">
        <v>3</v>
      </c>
      <c r="J171" s="34" t="s">
        <v>6282</v>
      </c>
      <c r="K171" s="45"/>
      <c r="L171" s="35" t="s">
        <v>5223</v>
      </c>
      <c r="M171" s="35" t="s">
        <v>29</v>
      </c>
      <c r="N171" s="34" t="s">
        <v>6283</v>
      </c>
    </row>
    <row r="172" spans="1:16" ht="64.95" customHeight="1" x14ac:dyDescent="0.75">
      <c r="A172" s="35">
        <v>170</v>
      </c>
      <c r="B172" s="34" t="s">
        <v>6284</v>
      </c>
      <c r="C172" s="45"/>
      <c r="D172" s="34" t="s">
        <v>5819</v>
      </c>
      <c r="E172" s="34" t="s">
        <v>5820</v>
      </c>
      <c r="F172" s="34" t="s">
        <v>5821</v>
      </c>
      <c r="G172" s="34" t="s">
        <v>5822</v>
      </c>
      <c r="H172" s="34" t="s">
        <v>5823</v>
      </c>
      <c r="I172" s="35">
        <v>2</v>
      </c>
      <c r="J172" s="34" t="s">
        <v>6285</v>
      </c>
      <c r="K172" s="45"/>
      <c r="L172" s="35" t="s">
        <v>5223</v>
      </c>
      <c r="M172" s="35" t="s">
        <v>29</v>
      </c>
      <c r="N172" s="34" t="s">
        <v>6286</v>
      </c>
    </row>
    <row r="173" spans="1:16" ht="64.95" customHeight="1" x14ac:dyDescent="0.75">
      <c r="A173" s="35">
        <v>171</v>
      </c>
      <c r="B173" s="34" t="s">
        <v>6287</v>
      </c>
      <c r="C173" s="45"/>
      <c r="D173" s="34" t="s">
        <v>5827</v>
      </c>
      <c r="E173" s="34" t="s">
        <v>5828</v>
      </c>
      <c r="F173" s="34" t="s">
        <v>5829</v>
      </c>
      <c r="G173" s="34" t="s">
        <v>5830</v>
      </c>
      <c r="H173" s="34" t="s">
        <v>5831</v>
      </c>
      <c r="I173" s="35">
        <v>3</v>
      </c>
      <c r="J173" s="34" t="s">
        <v>6288</v>
      </c>
      <c r="K173" s="45"/>
      <c r="L173" s="35" t="s">
        <v>5223</v>
      </c>
      <c r="M173" s="35" t="s">
        <v>29</v>
      </c>
      <c r="N173" s="34" t="s">
        <v>6289</v>
      </c>
    </row>
    <row r="174" spans="1:16" ht="64.95" customHeight="1" x14ac:dyDescent="0.75">
      <c r="A174" s="35">
        <v>172</v>
      </c>
      <c r="B174" s="34" t="s">
        <v>6290</v>
      </c>
      <c r="C174" s="45"/>
      <c r="D174" s="34" t="s">
        <v>5835</v>
      </c>
      <c r="E174" s="34" t="s">
        <v>5836</v>
      </c>
      <c r="F174" s="34" t="s">
        <v>5837</v>
      </c>
      <c r="G174" s="34" t="s">
        <v>5838</v>
      </c>
      <c r="H174" s="34" t="s">
        <v>5839</v>
      </c>
      <c r="I174" s="35">
        <v>2</v>
      </c>
      <c r="J174" s="34" t="s">
        <v>6291</v>
      </c>
      <c r="K174" s="45"/>
      <c r="L174" s="35" t="s">
        <v>5223</v>
      </c>
      <c r="M174" s="35" t="s">
        <v>29</v>
      </c>
      <c r="N174" s="34" t="s">
        <v>6292</v>
      </c>
    </row>
    <row r="175" spans="1:16" ht="64.95" customHeight="1" x14ac:dyDescent="0.75">
      <c r="A175" s="35">
        <v>173</v>
      </c>
      <c r="B175" s="34" t="s">
        <v>6293</v>
      </c>
      <c r="C175" s="45"/>
      <c r="D175" s="34" t="s">
        <v>6294</v>
      </c>
      <c r="E175" s="34" t="s">
        <v>6295</v>
      </c>
      <c r="F175" s="34" t="s">
        <v>6296</v>
      </c>
      <c r="G175" s="34" t="s">
        <v>6297</v>
      </c>
      <c r="H175" s="34" t="s">
        <v>6298</v>
      </c>
      <c r="I175" s="35">
        <v>2</v>
      </c>
      <c r="J175" s="34" t="s">
        <v>6299</v>
      </c>
      <c r="K175" s="45"/>
      <c r="L175" s="35" t="s">
        <v>6261</v>
      </c>
      <c r="M175" s="35" t="s">
        <v>29</v>
      </c>
      <c r="N175" s="34" t="s">
        <v>6300</v>
      </c>
    </row>
    <row r="176" spans="1:16" ht="64.95" customHeight="1" x14ac:dyDescent="0.75">
      <c r="A176" s="35">
        <v>174</v>
      </c>
      <c r="B176" s="34" t="s">
        <v>6301</v>
      </c>
      <c r="C176" s="45"/>
      <c r="D176" s="34" t="s">
        <v>5851</v>
      </c>
      <c r="E176" s="34" t="s">
        <v>6302</v>
      </c>
      <c r="F176" s="34" t="s">
        <v>5853</v>
      </c>
      <c r="G176" s="34" t="s">
        <v>5854</v>
      </c>
      <c r="H176" s="34" t="s">
        <v>5855</v>
      </c>
      <c r="I176" s="35">
        <v>2</v>
      </c>
      <c r="J176" s="34" t="s">
        <v>6303</v>
      </c>
      <c r="K176" s="45"/>
      <c r="L176" s="35" t="s">
        <v>6261</v>
      </c>
      <c r="M176" s="35" t="s">
        <v>29</v>
      </c>
      <c r="N176" s="34" t="s">
        <v>6304</v>
      </c>
    </row>
    <row r="177" spans="1:14" ht="64.95" customHeight="1" x14ac:dyDescent="0.75">
      <c r="A177" s="35">
        <v>175</v>
      </c>
      <c r="B177" s="34" t="s">
        <v>6305</v>
      </c>
      <c r="C177" s="45"/>
      <c r="D177" s="34" t="s">
        <v>5859</v>
      </c>
      <c r="E177" s="34" t="s">
        <v>5860</v>
      </c>
      <c r="F177" s="34" t="s">
        <v>5861</v>
      </c>
      <c r="G177" s="34" t="s">
        <v>6306</v>
      </c>
      <c r="H177" s="34" t="s">
        <v>5863</v>
      </c>
      <c r="I177" s="35">
        <v>1</v>
      </c>
      <c r="J177" s="34" t="s">
        <v>6307</v>
      </c>
      <c r="K177" s="45"/>
      <c r="L177" s="35" t="s">
        <v>6261</v>
      </c>
      <c r="M177" s="35" t="s">
        <v>29</v>
      </c>
      <c r="N177" s="34" t="s">
        <v>6308</v>
      </c>
    </row>
    <row r="178" spans="1:14" ht="64.95" customHeight="1" x14ac:dyDescent="0.75">
      <c r="A178" s="35">
        <v>176</v>
      </c>
      <c r="B178" s="34" t="s">
        <v>6309</v>
      </c>
      <c r="C178" s="45"/>
      <c r="D178" s="34" t="s">
        <v>5867</v>
      </c>
      <c r="E178" s="34" t="s">
        <v>5868</v>
      </c>
      <c r="F178" s="34" t="s">
        <v>5869</v>
      </c>
      <c r="G178" s="34" t="s">
        <v>6310</v>
      </c>
      <c r="H178" s="34" t="s">
        <v>5871</v>
      </c>
      <c r="I178" s="35">
        <v>2</v>
      </c>
      <c r="J178" s="34" t="s">
        <v>6311</v>
      </c>
      <c r="K178" s="45"/>
      <c r="L178" s="35" t="s">
        <v>6312</v>
      </c>
      <c r="M178" s="35" t="s">
        <v>29</v>
      </c>
      <c r="N178" s="34" t="s">
        <v>6313</v>
      </c>
    </row>
    <row r="179" spans="1:14" ht="64.95" customHeight="1" x14ac:dyDescent="0.75">
      <c r="A179" s="35">
        <v>177</v>
      </c>
      <c r="B179" s="34" t="s">
        <v>6314</v>
      </c>
      <c r="C179" s="45"/>
      <c r="D179" s="34" t="s">
        <v>5875</v>
      </c>
      <c r="E179" s="34" t="s">
        <v>5876</v>
      </c>
      <c r="F179" s="34" t="s">
        <v>5877</v>
      </c>
      <c r="G179" s="34" t="s">
        <v>5878</v>
      </c>
      <c r="H179" s="34" t="s">
        <v>5879</v>
      </c>
      <c r="I179" s="35">
        <v>2</v>
      </c>
      <c r="J179" s="34" t="s">
        <v>6315</v>
      </c>
      <c r="K179" s="45"/>
      <c r="L179" s="35" t="s">
        <v>6312</v>
      </c>
      <c r="M179" s="35" t="s">
        <v>29</v>
      </c>
      <c r="N179" s="34" t="s">
        <v>6316</v>
      </c>
    </row>
    <row r="180" spans="1:14" ht="64.95" customHeight="1" x14ac:dyDescent="0.75">
      <c r="A180" s="35">
        <v>178</v>
      </c>
      <c r="B180" s="34" t="s">
        <v>6317</v>
      </c>
      <c r="C180" s="45"/>
      <c r="D180" s="34" t="s">
        <v>5883</v>
      </c>
      <c r="E180" s="34" t="s">
        <v>5884</v>
      </c>
      <c r="F180" s="34" t="s">
        <v>6318</v>
      </c>
      <c r="G180" s="34" t="s">
        <v>5886</v>
      </c>
      <c r="H180" s="34" t="s">
        <v>5887</v>
      </c>
      <c r="I180" s="35">
        <v>2</v>
      </c>
      <c r="J180" s="34" t="s">
        <v>6319</v>
      </c>
      <c r="K180" s="45"/>
      <c r="L180" s="35" t="s">
        <v>6312</v>
      </c>
      <c r="M180" s="35" t="s">
        <v>29</v>
      </c>
      <c r="N180" s="34" t="s">
        <v>6320</v>
      </c>
    </row>
    <row r="181" spans="1:14" ht="64.95" customHeight="1" x14ac:dyDescent="0.75">
      <c r="A181" s="35">
        <v>179</v>
      </c>
      <c r="B181" s="34" t="s">
        <v>6321</v>
      </c>
      <c r="C181" s="45"/>
      <c r="D181" s="34" t="s">
        <v>5891</v>
      </c>
      <c r="E181" s="34" t="s">
        <v>5892</v>
      </c>
      <c r="F181" s="34" t="s">
        <v>5893</v>
      </c>
      <c r="G181" s="34" t="s">
        <v>5894</v>
      </c>
      <c r="H181" s="34" t="s">
        <v>5895</v>
      </c>
      <c r="I181" s="35">
        <v>2</v>
      </c>
      <c r="J181" s="34" t="s">
        <v>6322</v>
      </c>
      <c r="K181" s="45"/>
      <c r="L181" s="35" t="s">
        <v>6312</v>
      </c>
      <c r="M181" s="35" t="s">
        <v>29</v>
      </c>
      <c r="N181" s="34" t="s">
        <v>6323</v>
      </c>
    </row>
    <row r="182" spans="1:14" ht="64.95" customHeight="1" x14ac:dyDescent="0.75">
      <c r="A182" s="35">
        <v>180</v>
      </c>
      <c r="B182" s="34" t="s">
        <v>6324</v>
      </c>
      <c r="C182" s="45"/>
      <c r="D182" s="34" t="s">
        <v>6325</v>
      </c>
      <c r="E182" s="34" t="s">
        <v>6326</v>
      </c>
      <c r="F182" s="34" t="s">
        <v>6327</v>
      </c>
      <c r="G182" s="34" t="s">
        <v>6328</v>
      </c>
      <c r="H182" s="34" t="s">
        <v>6329</v>
      </c>
      <c r="I182" s="35">
        <v>3</v>
      </c>
      <c r="J182" s="34" t="s">
        <v>6330</v>
      </c>
      <c r="K182" s="45"/>
      <c r="L182" s="35" t="s">
        <v>6331</v>
      </c>
      <c r="M182" s="35" t="s">
        <v>29</v>
      </c>
      <c r="N182" s="34" t="s">
        <v>6332</v>
      </c>
    </row>
    <row r="183" spans="1:14" ht="64.95" customHeight="1" x14ac:dyDescent="0.75">
      <c r="A183" s="35">
        <v>181</v>
      </c>
      <c r="B183" s="34" t="s">
        <v>6333</v>
      </c>
      <c r="C183" s="45"/>
      <c r="D183" s="34" t="s">
        <v>6334</v>
      </c>
      <c r="E183" s="34" t="s">
        <v>6335</v>
      </c>
      <c r="F183" s="34" t="s">
        <v>6336</v>
      </c>
      <c r="G183" s="34" t="s">
        <v>6337</v>
      </c>
      <c r="H183" s="34" t="s">
        <v>6338</v>
      </c>
      <c r="I183" s="35">
        <v>2</v>
      </c>
      <c r="J183" s="34" t="s">
        <v>6339</v>
      </c>
      <c r="K183" s="45"/>
      <c r="L183" s="35" t="s">
        <v>6331</v>
      </c>
      <c r="M183" s="35" t="s">
        <v>29</v>
      </c>
      <c r="N183" s="34" t="s">
        <v>6340</v>
      </c>
    </row>
    <row r="184" spans="1:14" ht="64.95" customHeight="1" x14ac:dyDescent="0.75">
      <c r="A184" s="35">
        <v>182</v>
      </c>
      <c r="B184" s="34" t="s">
        <v>6341</v>
      </c>
      <c r="C184" s="45"/>
      <c r="D184" s="34" t="s">
        <v>6342</v>
      </c>
      <c r="E184" s="34" t="s">
        <v>6343</v>
      </c>
      <c r="F184" s="34" t="s">
        <v>6344</v>
      </c>
      <c r="G184" s="34" t="s">
        <v>6345</v>
      </c>
      <c r="H184" s="34" t="s">
        <v>5919</v>
      </c>
      <c r="I184" s="35">
        <v>2</v>
      </c>
      <c r="J184" s="34" t="s">
        <v>6346</v>
      </c>
      <c r="K184" s="45"/>
      <c r="L184" s="35" t="s">
        <v>6331</v>
      </c>
      <c r="M184" s="35" t="s">
        <v>29</v>
      </c>
      <c r="N184" s="34" t="s">
        <v>6347</v>
      </c>
    </row>
    <row r="185" spans="1:14" ht="64.95" customHeight="1" x14ac:dyDescent="0.75">
      <c r="A185" s="35">
        <v>183</v>
      </c>
      <c r="B185" s="34" t="s">
        <v>6348</v>
      </c>
      <c r="C185" s="45"/>
      <c r="D185" s="34" t="s">
        <v>5923</v>
      </c>
      <c r="E185" s="34" t="s">
        <v>5924</v>
      </c>
      <c r="F185" s="34" t="s">
        <v>6349</v>
      </c>
      <c r="G185" s="34" t="s">
        <v>6350</v>
      </c>
      <c r="H185" s="34" t="s">
        <v>5927</v>
      </c>
      <c r="I185" s="35">
        <v>3</v>
      </c>
      <c r="J185" s="34" t="s">
        <v>6351</v>
      </c>
      <c r="K185" s="45"/>
      <c r="L185" s="35" t="s">
        <v>6331</v>
      </c>
      <c r="M185" s="35" t="s">
        <v>29</v>
      </c>
      <c r="N185" s="34" t="s">
        <v>6352</v>
      </c>
    </row>
    <row r="186" spans="1:14" ht="64.95" customHeight="1" x14ac:dyDescent="0.75">
      <c r="A186" s="35">
        <v>184</v>
      </c>
      <c r="B186" s="34" t="s">
        <v>6353</v>
      </c>
      <c r="C186" s="45"/>
      <c r="D186" s="34" t="s">
        <v>5931</v>
      </c>
      <c r="E186" s="34" t="s">
        <v>5932</v>
      </c>
      <c r="F186" s="34" t="s">
        <v>5933</v>
      </c>
      <c r="G186" s="34" t="s">
        <v>5934</v>
      </c>
      <c r="H186" s="34" t="s">
        <v>5935</v>
      </c>
      <c r="I186" s="35">
        <v>2</v>
      </c>
      <c r="J186" s="34" t="s">
        <v>6354</v>
      </c>
      <c r="K186" s="45"/>
      <c r="L186" s="35" t="s">
        <v>6331</v>
      </c>
      <c r="M186" s="35" t="s">
        <v>29</v>
      </c>
      <c r="N186" s="34" t="s">
        <v>6355</v>
      </c>
    </row>
    <row r="187" spans="1:14" ht="64.95" customHeight="1" x14ac:dyDescent="0.75">
      <c r="A187" s="35">
        <v>185</v>
      </c>
      <c r="B187" s="34" t="s">
        <v>6356</v>
      </c>
      <c r="C187" s="45"/>
      <c r="D187" s="34" t="s">
        <v>5939</v>
      </c>
      <c r="E187" s="34" t="s">
        <v>5940</v>
      </c>
      <c r="F187" s="34" t="s">
        <v>5941</v>
      </c>
      <c r="G187" s="34" t="s">
        <v>5942</v>
      </c>
      <c r="H187" s="34" t="s">
        <v>5943</v>
      </c>
      <c r="I187" s="35">
        <v>2</v>
      </c>
      <c r="J187" s="34" t="s">
        <v>6357</v>
      </c>
      <c r="K187" s="45"/>
      <c r="L187" s="35" t="s">
        <v>6331</v>
      </c>
      <c r="M187" s="35" t="s">
        <v>29</v>
      </c>
      <c r="N187" s="34" t="s">
        <v>6358</v>
      </c>
    </row>
    <row r="188" spans="1:14" ht="64.95" customHeight="1" x14ac:dyDescent="0.75">
      <c r="A188" s="35">
        <v>186</v>
      </c>
      <c r="B188" s="34" t="s">
        <v>6359</v>
      </c>
      <c r="C188" s="45"/>
      <c r="D188" s="34" t="s">
        <v>6360</v>
      </c>
      <c r="E188" s="34" t="s">
        <v>6361</v>
      </c>
      <c r="F188" s="34" t="s">
        <v>5949</v>
      </c>
      <c r="G188" s="34" t="s">
        <v>6362</v>
      </c>
      <c r="H188" s="34" t="s">
        <v>6363</v>
      </c>
      <c r="I188" s="35">
        <v>1</v>
      </c>
      <c r="J188" s="34" t="s">
        <v>6364</v>
      </c>
      <c r="K188" s="45"/>
      <c r="L188" s="35" t="s">
        <v>6331</v>
      </c>
      <c r="M188" s="35" t="s">
        <v>29</v>
      </c>
      <c r="N188" s="34" t="s">
        <v>6365</v>
      </c>
    </row>
    <row r="189" spans="1:14" ht="64.95" customHeight="1" x14ac:dyDescent="0.75">
      <c r="A189" s="35">
        <v>187</v>
      </c>
      <c r="B189" s="34" t="s">
        <v>6366</v>
      </c>
      <c r="C189" s="45"/>
      <c r="D189" s="34" t="s">
        <v>6367</v>
      </c>
      <c r="E189" s="34" t="s">
        <v>6368</v>
      </c>
      <c r="F189" s="34" t="s">
        <v>6369</v>
      </c>
      <c r="G189" s="34" t="s">
        <v>6370</v>
      </c>
      <c r="H189" s="34" t="s">
        <v>6371</v>
      </c>
      <c r="I189" s="35">
        <v>3</v>
      </c>
      <c r="J189" s="34" t="s">
        <v>6372</v>
      </c>
      <c r="K189" s="45"/>
      <c r="L189" s="35" t="s">
        <v>6331</v>
      </c>
      <c r="M189" s="35" t="s">
        <v>29</v>
      </c>
      <c r="N189" s="34" t="s">
        <v>6373</v>
      </c>
    </row>
    <row r="190" spans="1:14" ht="64.95" customHeight="1" x14ac:dyDescent="0.75">
      <c r="A190" s="35">
        <v>188</v>
      </c>
      <c r="B190" s="34" t="s">
        <v>6374</v>
      </c>
      <c r="C190" s="45"/>
      <c r="D190" s="34" t="s">
        <v>5963</v>
      </c>
      <c r="E190" s="34" t="s">
        <v>5964</v>
      </c>
      <c r="F190" s="34" t="s">
        <v>5965</v>
      </c>
      <c r="G190" s="34" t="s">
        <v>5966</v>
      </c>
      <c r="H190" s="34" t="s">
        <v>6375</v>
      </c>
      <c r="I190" s="35">
        <v>3</v>
      </c>
      <c r="J190" s="34" t="s">
        <v>6376</v>
      </c>
      <c r="K190" s="45"/>
      <c r="L190" s="35" t="s">
        <v>6377</v>
      </c>
      <c r="M190" s="35" t="s">
        <v>29</v>
      </c>
      <c r="N190" s="34" t="s">
        <v>6378</v>
      </c>
    </row>
    <row r="191" spans="1:14" ht="64.95" customHeight="1" x14ac:dyDescent="0.75">
      <c r="A191" s="35">
        <v>189</v>
      </c>
      <c r="B191" s="34" t="s">
        <v>6379</v>
      </c>
      <c r="C191" s="45"/>
      <c r="D191" s="34" t="s">
        <v>6380</v>
      </c>
      <c r="E191" s="34" t="s">
        <v>6381</v>
      </c>
      <c r="F191" s="34" t="s">
        <v>6382</v>
      </c>
      <c r="G191" s="34" t="s">
        <v>6383</v>
      </c>
      <c r="H191" s="34" t="s">
        <v>6384</v>
      </c>
      <c r="I191" s="35">
        <v>2</v>
      </c>
      <c r="J191" s="34" t="s">
        <v>6385</v>
      </c>
      <c r="K191" s="45"/>
      <c r="L191" s="35" t="s">
        <v>6377</v>
      </c>
      <c r="M191" s="35" t="s">
        <v>29</v>
      </c>
      <c r="N191" s="34" t="s">
        <v>6386</v>
      </c>
    </row>
    <row r="192" spans="1:14" ht="64.95" customHeight="1" x14ac:dyDescent="0.75">
      <c r="A192" s="35">
        <v>190</v>
      </c>
      <c r="B192" s="34" t="s">
        <v>6387</v>
      </c>
      <c r="C192" s="45"/>
      <c r="D192" s="34" t="s">
        <v>6388</v>
      </c>
      <c r="E192" s="34" t="s">
        <v>6389</v>
      </c>
      <c r="F192" s="34" t="s">
        <v>6390</v>
      </c>
      <c r="G192" s="34" t="s">
        <v>6391</v>
      </c>
      <c r="H192" s="34" t="s">
        <v>6392</v>
      </c>
      <c r="I192" s="35">
        <v>3</v>
      </c>
      <c r="J192" s="34" t="s">
        <v>6393</v>
      </c>
      <c r="K192" s="45"/>
      <c r="L192" s="35" t="s">
        <v>6377</v>
      </c>
      <c r="M192" s="35" t="s">
        <v>29</v>
      </c>
      <c r="N192" s="34" t="s">
        <v>6394</v>
      </c>
    </row>
    <row r="193" spans="1:14" ht="64.95" customHeight="1" x14ac:dyDescent="0.75">
      <c r="A193" s="35">
        <v>191</v>
      </c>
      <c r="B193" s="34" t="s">
        <v>6395</v>
      </c>
      <c r="C193" s="45"/>
      <c r="D193" s="34" t="s">
        <v>6396</v>
      </c>
      <c r="E193" s="34" t="s">
        <v>6397</v>
      </c>
      <c r="F193" s="34" t="s">
        <v>6398</v>
      </c>
      <c r="G193" s="34" t="s">
        <v>6399</v>
      </c>
      <c r="H193" s="34" t="s">
        <v>6400</v>
      </c>
      <c r="I193" s="35">
        <v>2</v>
      </c>
      <c r="J193" s="34" t="s">
        <v>6401</v>
      </c>
      <c r="K193" s="45"/>
      <c r="L193" s="35" t="s">
        <v>6377</v>
      </c>
      <c r="M193" s="35" t="s">
        <v>29</v>
      </c>
      <c r="N193" s="34" t="s">
        <v>6402</v>
      </c>
    </row>
    <row r="194" spans="1:14" ht="64.95" customHeight="1" x14ac:dyDescent="0.75">
      <c r="A194" s="35">
        <v>192</v>
      </c>
      <c r="B194" s="34" t="s">
        <v>6403</v>
      </c>
      <c r="C194" s="45"/>
      <c r="D194" s="34" t="s">
        <v>6404</v>
      </c>
      <c r="E194" s="34" t="s">
        <v>6405</v>
      </c>
      <c r="F194" s="34" t="s">
        <v>6406</v>
      </c>
      <c r="G194" s="34" t="s">
        <v>6407</v>
      </c>
      <c r="H194" s="34" t="s">
        <v>6408</v>
      </c>
      <c r="I194" s="35">
        <v>3</v>
      </c>
      <c r="J194" s="34" t="s">
        <v>6409</v>
      </c>
      <c r="K194" s="45"/>
      <c r="L194" s="35" t="s">
        <v>6377</v>
      </c>
      <c r="M194" s="35" t="s">
        <v>29</v>
      </c>
      <c r="N194" s="34" t="s">
        <v>6410</v>
      </c>
    </row>
    <row r="195" spans="1:14" ht="64.95" customHeight="1" x14ac:dyDescent="0.75">
      <c r="A195" s="35">
        <v>193</v>
      </c>
      <c r="B195" s="34" t="s">
        <v>6411</v>
      </c>
      <c r="C195" s="45"/>
      <c r="D195" s="34" t="s">
        <v>6412</v>
      </c>
      <c r="E195" s="34" t="s">
        <v>6413</v>
      </c>
      <c r="F195" s="34" t="s">
        <v>6414</v>
      </c>
      <c r="G195" s="34" t="s">
        <v>6415</v>
      </c>
      <c r="H195" s="34" t="s">
        <v>6416</v>
      </c>
      <c r="I195" s="35">
        <v>2</v>
      </c>
      <c r="J195" s="34" t="s">
        <v>6417</v>
      </c>
      <c r="K195" s="45"/>
      <c r="L195" s="35" t="s">
        <v>6377</v>
      </c>
      <c r="M195" s="35" t="s">
        <v>29</v>
      </c>
      <c r="N195" s="34" t="s">
        <v>6418</v>
      </c>
    </row>
    <row r="196" spans="1:14" ht="64.95" customHeight="1" x14ac:dyDescent="0.75">
      <c r="A196" s="35">
        <v>194</v>
      </c>
      <c r="B196" s="34" t="s">
        <v>6419</v>
      </c>
      <c r="C196" s="45"/>
      <c r="D196" s="34" t="s">
        <v>6420</v>
      </c>
      <c r="E196" s="34" t="s">
        <v>6421</v>
      </c>
      <c r="F196" s="34" t="s">
        <v>6422</v>
      </c>
      <c r="G196" s="34" t="s">
        <v>6423</v>
      </c>
      <c r="H196" s="34" t="s">
        <v>6424</v>
      </c>
      <c r="I196" s="35">
        <v>2</v>
      </c>
      <c r="J196" s="34" t="s">
        <v>6425</v>
      </c>
      <c r="K196" s="45"/>
      <c r="L196" s="35" t="s">
        <v>6377</v>
      </c>
      <c r="M196" s="35" t="s">
        <v>29</v>
      </c>
      <c r="N196" s="34" t="s">
        <v>6426</v>
      </c>
    </row>
    <row r="197" spans="1:14" ht="13.2" x14ac:dyDescent="0.25">
      <c r="A197">
        <v>195</v>
      </c>
      <c r="B197" t="s">
        <v>6427</v>
      </c>
      <c r="D197" t="s">
        <v>428</v>
      </c>
      <c r="E197" t="s">
        <v>6428</v>
      </c>
      <c r="F197" t="s">
        <v>6429</v>
      </c>
      <c r="G197" t="s">
        <v>6430</v>
      </c>
      <c r="H197" t="s">
        <v>6431</v>
      </c>
      <c r="I197" t="s">
        <v>84</v>
      </c>
      <c r="J197" t="s">
        <v>6432</v>
      </c>
      <c r="L197" t="s">
        <v>1645</v>
      </c>
      <c r="M197" t="s">
        <v>29</v>
      </c>
      <c r="N197" t="s">
        <v>6433</v>
      </c>
    </row>
    <row r="198" spans="1:14" ht="13.2" x14ac:dyDescent="0.25">
      <c r="A198">
        <v>196</v>
      </c>
      <c r="B198" t="s">
        <v>6434</v>
      </c>
      <c r="D198" t="s">
        <v>6435</v>
      </c>
      <c r="E198" t="s">
        <v>6436</v>
      </c>
      <c r="F198" t="s">
        <v>6437</v>
      </c>
      <c r="G198" t="s">
        <v>6438</v>
      </c>
      <c r="H198" t="s">
        <v>6439</v>
      </c>
      <c r="I198" t="s">
        <v>84</v>
      </c>
      <c r="J198" t="s">
        <v>6440</v>
      </c>
      <c r="L198" t="s">
        <v>1645</v>
      </c>
      <c r="M198" t="s">
        <v>29</v>
      </c>
      <c r="N198" t="s">
        <v>2575</v>
      </c>
    </row>
  </sheetData>
  <mergeCells count="1">
    <mergeCell ref="A1:F1"/>
  </mergeCells>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105"/>
  <sheetViews>
    <sheetView topLeftCell="C1" workbookViewId="0">
      <pane ySplit="2" topLeftCell="A3" activePane="bottomLeft" state="frozen"/>
      <selection pane="bottomLeft" activeCell="A3" sqref="A3:P105"/>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33">
        <v>1</v>
      </c>
      <c r="B3" s="34" t="s">
        <v>6441</v>
      </c>
      <c r="C3" s="35"/>
      <c r="D3" s="34" t="s">
        <v>6442</v>
      </c>
      <c r="E3" s="34" t="s">
        <v>6443</v>
      </c>
      <c r="F3" s="34" t="s">
        <v>6444</v>
      </c>
      <c r="G3" s="34" t="s">
        <v>6445</v>
      </c>
      <c r="H3" s="34" t="s">
        <v>6446</v>
      </c>
      <c r="I3" s="33" t="s">
        <v>90</v>
      </c>
      <c r="J3" s="34" t="s">
        <v>6447</v>
      </c>
      <c r="K3" s="35"/>
      <c r="L3" s="34" t="s">
        <v>6448</v>
      </c>
      <c r="M3" s="35" t="s">
        <v>29</v>
      </c>
      <c r="N3" s="34" t="s">
        <v>1685</v>
      </c>
      <c r="O3" s="35" t="s">
        <v>816</v>
      </c>
      <c r="P3" s="35" t="s">
        <v>669</v>
      </c>
    </row>
    <row r="4" spans="1:16" ht="13.2" customHeight="1" x14ac:dyDescent="0.25">
      <c r="A4" s="33">
        <v>2</v>
      </c>
      <c r="B4" s="34" t="s">
        <v>6449</v>
      </c>
      <c r="C4" s="35"/>
      <c r="D4" s="34" t="s">
        <v>6450</v>
      </c>
      <c r="E4" s="34" t="s">
        <v>6451</v>
      </c>
      <c r="F4" s="34" t="s">
        <v>6452</v>
      </c>
      <c r="G4" s="34" t="s">
        <v>6453</v>
      </c>
      <c r="H4" s="34" t="s">
        <v>6454</v>
      </c>
      <c r="I4" s="33" t="s">
        <v>113</v>
      </c>
      <c r="J4" s="34" t="s">
        <v>6455</v>
      </c>
      <c r="K4" s="35"/>
      <c r="L4" s="34" t="s">
        <v>6448</v>
      </c>
      <c r="M4" s="35" t="s">
        <v>29</v>
      </c>
      <c r="N4" s="34" t="s">
        <v>6456</v>
      </c>
      <c r="O4" s="35" t="s">
        <v>816</v>
      </c>
      <c r="P4" s="35" t="s">
        <v>669</v>
      </c>
    </row>
    <row r="5" spans="1:16" ht="13.2" customHeight="1" x14ac:dyDescent="0.25">
      <c r="A5" s="33">
        <v>3</v>
      </c>
      <c r="B5" s="34" t="s">
        <v>6457</v>
      </c>
      <c r="C5" s="35"/>
      <c r="D5" s="34" t="s">
        <v>6458</v>
      </c>
      <c r="E5" s="34" t="s">
        <v>6459</v>
      </c>
      <c r="F5" s="34" t="s">
        <v>6460</v>
      </c>
      <c r="G5" s="34" t="s">
        <v>6461</v>
      </c>
      <c r="H5" s="34" t="s">
        <v>6462</v>
      </c>
      <c r="I5" s="33" t="s">
        <v>123</v>
      </c>
      <c r="J5" s="34" t="s">
        <v>6463</v>
      </c>
      <c r="K5" s="35"/>
      <c r="L5" s="34" t="s">
        <v>6448</v>
      </c>
      <c r="M5" s="35" t="s">
        <v>29</v>
      </c>
      <c r="N5" s="34" t="s">
        <v>2735</v>
      </c>
      <c r="O5" s="35" t="s">
        <v>816</v>
      </c>
      <c r="P5" s="35" t="s">
        <v>669</v>
      </c>
    </row>
    <row r="6" spans="1:16" ht="13.2" customHeight="1" x14ac:dyDescent="0.25">
      <c r="A6" s="33">
        <v>4</v>
      </c>
      <c r="B6" s="34" t="s">
        <v>6464</v>
      </c>
      <c r="C6" s="35"/>
      <c r="D6" s="34" t="s">
        <v>6465</v>
      </c>
      <c r="E6" s="34" t="s">
        <v>6466</v>
      </c>
      <c r="F6" s="34" t="s">
        <v>6467</v>
      </c>
      <c r="G6" s="34" t="s">
        <v>6468</v>
      </c>
      <c r="H6" s="34" t="s">
        <v>6469</v>
      </c>
      <c r="I6" s="33" t="s">
        <v>113</v>
      </c>
      <c r="J6" s="34" t="s">
        <v>6470</v>
      </c>
      <c r="K6" s="35"/>
      <c r="L6" s="34" t="s">
        <v>6448</v>
      </c>
      <c r="M6" s="35" t="s">
        <v>29</v>
      </c>
      <c r="N6" s="34" t="s">
        <v>6471</v>
      </c>
      <c r="O6" s="35" t="s">
        <v>816</v>
      </c>
      <c r="P6" s="35" t="s">
        <v>669</v>
      </c>
    </row>
    <row r="7" spans="1:16" ht="13.2" customHeight="1" x14ac:dyDescent="0.25">
      <c r="A7" s="33">
        <v>5</v>
      </c>
      <c r="B7" s="34" t="s">
        <v>6472</v>
      </c>
      <c r="C7" s="35"/>
      <c r="D7" s="34" t="s">
        <v>6473</v>
      </c>
      <c r="E7" s="34" t="s">
        <v>4474</v>
      </c>
      <c r="F7" s="34" t="s">
        <v>6474</v>
      </c>
      <c r="G7" s="34" t="s">
        <v>6475</v>
      </c>
      <c r="H7" s="34" t="s">
        <v>6476</v>
      </c>
      <c r="I7" s="33" t="s">
        <v>96</v>
      </c>
      <c r="J7" s="34" t="s">
        <v>6477</v>
      </c>
      <c r="K7" s="35"/>
      <c r="L7" s="34" t="s">
        <v>6448</v>
      </c>
      <c r="M7" s="35" t="s">
        <v>29</v>
      </c>
      <c r="N7" s="34" t="s">
        <v>6478</v>
      </c>
      <c r="O7" s="35" t="s">
        <v>816</v>
      </c>
      <c r="P7" s="35" t="s">
        <v>669</v>
      </c>
    </row>
    <row r="8" spans="1:16" ht="13.2" customHeight="1" x14ac:dyDescent="0.25">
      <c r="A8" s="33">
        <v>6</v>
      </c>
      <c r="B8" s="34" t="s">
        <v>6479</v>
      </c>
      <c r="C8" s="35"/>
      <c r="D8" s="34" t="s">
        <v>6480</v>
      </c>
      <c r="E8" s="34" t="s">
        <v>1133</v>
      </c>
      <c r="F8" s="34" t="s">
        <v>6481</v>
      </c>
      <c r="G8" s="34" t="s">
        <v>5032</v>
      </c>
      <c r="H8" s="34" t="s">
        <v>6482</v>
      </c>
      <c r="I8" s="33" t="s">
        <v>123</v>
      </c>
      <c r="J8" s="34" t="s">
        <v>6483</v>
      </c>
      <c r="K8" s="35"/>
      <c r="L8" s="34" t="s">
        <v>6448</v>
      </c>
      <c r="M8" s="35" t="s">
        <v>29</v>
      </c>
      <c r="N8" s="34" t="s">
        <v>699</v>
      </c>
      <c r="O8" s="35" t="s">
        <v>816</v>
      </c>
      <c r="P8" s="35" t="s">
        <v>669</v>
      </c>
    </row>
    <row r="9" spans="1:16" ht="13.2" customHeight="1" x14ac:dyDescent="0.25">
      <c r="A9" s="33">
        <v>7</v>
      </c>
      <c r="B9" s="34" t="s">
        <v>6484</v>
      </c>
      <c r="C9" s="35"/>
      <c r="D9" s="34" t="s">
        <v>733</v>
      </c>
      <c r="E9" s="34" t="s">
        <v>6485</v>
      </c>
      <c r="F9" s="34" t="s">
        <v>5675</v>
      </c>
      <c r="G9" s="34" t="s">
        <v>3111</v>
      </c>
      <c r="H9" s="34" t="s">
        <v>6486</v>
      </c>
      <c r="I9" s="33" t="s">
        <v>84</v>
      </c>
      <c r="J9" s="34" t="s">
        <v>6487</v>
      </c>
      <c r="K9" s="35"/>
      <c r="L9" s="34" t="s">
        <v>6448</v>
      </c>
      <c r="M9" s="35" t="s">
        <v>29</v>
      </c>
      <c r="N9" s="34" t="s">
        <v>1724</v>
      </c>
      <c r="O9" s="35" t="s">
        <v>816</v>
      </c>
      <c r="P9" s="35" t="s">
        <v>669</v>
      </c>
    </row>
    <row r="10" spans="1:16" ht="13.2" customHeight="1" x14ac:dyDescent="0.25">
      <c r="A10" s="33">
        <v>8</v>
      </c>
      <c r="B10" s="34" t="s">
        <v>6488</v>
      </c>
      <c r="C10" s="35"/>
      <c r="D10" s="34" t="s">
        <v>6489</v>
      </c>
      <c r="E10" s="34" t="s">
        <v>6490</v>
      </c>
      <c r="F10" s="34" t="s">
        <v>6491</v>
      </c>
      <c r="G10" s="34" t="s">
        <v>6492</v>
      </c>
      <c r="H10" s="34" t="s">
        <v>6493</v>
      </c>
      <c r="I10" s="33" t="s">
        <v>84</v>
      </c>
      <c r="J10" s="34" t="s">
        <v>6494</v>
      </c>
      <c r="K10" s="35"/>
      <c r="L10" s="34" t="s">
        <v>6448</v>
      </c>
      <c r="M10" s="35" t="s">
        <v>29</v>
      </c>
      <c r="N10" s="34" t="s">
        <v>6495</v>
      </c>
      <c r="O10" s="35" t="s">
        <v>816</v>
      </c>
      <c r="P10" s="35" t="s">
        <v>669</v>
      </c>
    </row>
    <row r="11" spans="1:16" ht="13.2" customHeight="1" x14ac:dyDescent="0.25">
      <c r="A11" s="33">
        <v>9</v>
      </c>
      <c r="B11" s="34" t="s">
        <v>6496</v>
      </c>
      <c r="C11" s="35"/>
      <c r="D11" s="34" t="s">
        <v>6497</v>
      </c>
      <c r="E11" s="34" t="s">
        <v>6498</v>
      </c>
      <c r="F11" s="34" t="s">
        <v>6499</v>
      </c>
      <c r="G11" s="34" t="s">
        <v>6500</v>
      </c>
      <c r="H11" s="34" t="s">
        <v>6501</v>
      </c>
      <c r="I11" s="33" t="s">
        <v>123</v>
      </c>
      <c r="J11" s="34" t="s">
        <v>6502</v>
      </c>
      <c r="K11" s="35"/>
      <c r="L11" s="34" t="s">
        <v>6448</v>
      </c>
      <c r="M11" s="35" t="s">
        <v>29</v>
      </c>
      <c r="N11" s="34" t="s">
        <v>6503</v>
      </c>
      <c r="O11" s="35" t="s">
        <v>816</v>
      </c>
      <c r="P11" s="35" t="s">
        <v>669</v>
      </c>
    </row>
    <row r="12" spans="1:16" ht="13.2" customHeight="1" x14ac:dyDescent="0.25">
      <c r="A12" s="33">
        <v>10</v>
      </c>
      <c r="B12" s="34" t="s">
        <v>6504</v>
      </c>
      <c r="C12" s="35"/>
      <c r="D12" s="34" t="s">
        <v>6505</v>
      </c>
      <c r="E12" s="34" t="s">
        <v>6506</v>
      </c>
      <c r="F12" s="34" t="s">
        <v>6507</v>
      </c>
      <c r="G12" s="34" t="s">
        <v>6508</v>
      </c>
      <c r="H12" s="34" t="s">
        <v>6509</v>
      </c>
      <c r="I12" s="33" t="s">
        <v>90</v>
      </c>
      <c r="J12" s="34" t="s">
        <v>6510</v>
      </c>
      <c r="K12" s="35"/>
      <c r="L12" s="34" t="s">
        <v>6448</v>
      </c>
      <c r="M12" s="35" t="s">
        <v>29</v>
      </c>
      <c r="N12" s="34" t="s">
        <v>6511</v>
      </c>
      <c r="O12" s="35" t="s">
        <v>816</v>
      </c>
      <c r="P12" s="35" t="s">
        <v>669</v>
      </c>
    </row>
    <row r="13" spans="1:16" ht="13.2" customHeight="1" x14ac:dyDescent="0.25">
      <c r="A13" s="33">
        <v>11</v>
      </c>
      <c r="B13" s="34" t="s">
        <v>6512</v>
      </c>
      <c r="C13" s="35"/>
      <c r="D13" s="34" t="s">
        <v>6513</v>
      </c>
      <c r="E13" s="34" t="s">
        <v>6514</v>
      </c>
      <c r="F13" s="34" t="s">
        <v>6515</v>
      </c>
      <c r="G13" s="34" t="s">
        <v>6516</v>
      </c>
      <c r="H13" s="34" t="s">
        <v>6517</v>
      </c>
      <c r="I13" s="33" t="s">
        <v>90</v>
      </c>
      <c r="J13" s="34" t="s">
        <v>6518</v>
      </c>
      <c r="K13" s="35"/>
      <c r="L13" s="34" t="s">
        <v>6448</v>
      </c>
      <c r="M13" s="35" t="s">
        <v>29</v>
      </c>
      <c r="N13" s="34" t="s">
        <v>735</v>
      </c>
      <c r="O13" s="35" t="s">
        <v>816</v>
      </c>
      <c r="P13" s="35" t="s">
        <v>669</v>
      </c>
    </row>
    <row r="14" spans="1:16" ht="13.2" customHeight="1" x14ac:dyDescent="0.25">
      <c r="A14" s="33">
        <v>12</v>
      </c>
      <c r="B14" s="34" t="s">
        <v>6519</v>
      </c>
      <c r="C14" s="35"/>
      <c r="D14" s="34" t="s">
        <v>6520</v>
      </c>
      <c r="E14" s="34" t="s">
        <v>6521</v>
      </c>
      <c r="F14" s="34" t="s">
        <v>6522</v>
      </c>
      <c r="G14" s="34" t="s">
        <v>5490</v>
      </c>
      <c r="H14" s="34" t="s">
        <v>6523</v>
      </c>
      <c r="I14" s="33" t="s">
        <v>96</v>
      </c>
      <c r="J14" s="34" t="s">
        <v>6524</v>
      </c>
      <c r="K14" s="35"/>
      <c r="L14" s="34" t="s">
        <v>6448</v>
      </c>
      <c r="M14" s="35" t="s">
        <v>29</v>
      </c>
      <c r="N14" s="34" t="s">
        <v>5308</v>
      </c>
      <c r="O14" s="35" t="s">
        <v>816</v>
      </c>
      <c r="P14" s="35" t="s">
        <v>669</v>
      </c>
    </row>
    <row r="15" spans="1:16" ht="13.2" customHeight="1" x14ac:dyDescent="0.25">
      <c r="A15" s="33">
        <v>13</v>
      </c>
      <c r="B15" s="34" t="s">
        <v>6525</v>
      </c>
      <c r="C15" s="35"/>
      <c r="D15" s="34" t="s">
        <v>6526</v>
      </c>
      <c r="E15" s="34" t="s">
        <v>5032</v>
      </c>
      <c r="F15" s="34" t="s">
        <v>6527</v>
      </c>
      <c r="G15" s="34" t="s">
        <v>6481</v>
      </c>
      <c r="H15" s="34" t="s">
        <v>6528</v>
      </c>
      <c r="I15" s="33" t="s">
        <v>84</v>
      </c>
      <c r="J15" s="34" t="s">
        <v>6529</v>
      </c>
      <c r="K15" s="35"/>
      <c r="L15" s="34" t="s">
        <v>6448</v>
      </c>
      <c r="M15" s="35" t="s">
        <v>29</v>
      </c>
      <c r="N15" s="34" t="s">
        <v>6530</v>
      </c>
      <c r="O15" s="35" t="s">
        <v>816</v>
      </c>
      <c r="P15" s="35" t="s">
        <v>669</v>
      </c>
    </row>
    <row r="16" spans="1:16" ht="13.2" customHeight="1" x14ac:dyDescent="0.25">
      <c r="A16" s="33">
        <v>14</v>
      </c>
      <c r="B16" s="34" t="s">
        <v>6531</v>
      </c>
      <c r="C16" s="35"/>
      <c r="D16" s="34" t="s">
        <v>6532</v>
      </c>
      <c r="E16" s="34" t="s">
        <v>6533</v>
      </c>
      <c r="F16" s="34" t="s">
        <v>6534</v>
      </c>
      <c r="G16" s="34" t="s">
        <v>6535</v>
      </c>
      <c r="H16" s="34" t="s">
        <v>6536</v>
      </c>
      <c r="I16" s="33" t="s">
        <v>113</v>
      </c>
      <c r="J16" s="34" t="s">
        <v>6537</v>
      </c>
      <c r="K16" s="35"/>
      <c r="L16" s="34" t="s">
        <v>6448</v>
      </c>
      <c r="M16" s="35" t="s">
        <v>29</v>
      </c>
      <c r="N16" s="34" t="s">
        <v>1780</v>
      </c>
      <c r="O16" s="35" t="s">
        <v>816</v>
      </c>
      <c r="P16" s="35" t="s">
        <v>669</v>
      </c>
    </row>
    <row r="17" spans="1:16" ht="13.2" customHeight="1" x14ac:dyDescent="0.25">
      <c r="A17" s="33">
        <v>15</v>
      </c>
      <c r="B17" s="34" t="s">
        <v>6538</v>
      </c>
      <c r="C17" s="35"/>
      <c r="D17" s="34" t="s">
        <v>6539</v>
      </c>
      <c r="E17" s="34" t="s">
        <v>6540</v>
      </c>
      <c r="F17" s="34" t="s">
        <v>6541</v>
      </c>
      <c r="G17" s="34" t="s">
        <v>6542</v>
      </c>
      <c r="H17" s="34" t="s">
        <v>4474</v>
      </c>
      <c r="I17" s="33" t="s">
        <v>113</v>
      </c>
      <c r="J17" s="34" t="s">
        <v>6543</v>
      </c>
      <c r="K17" s="35"/>
      <c r="L17" s="34" t="s">
        <v>6448</v>
      </c>
      <c r="M17" s="35" t="s">
        <v>29</v>
      </c>
      <c r="N17" s="34" t="s">
        <v>6544</v>
      </c>
      <c r="O17" s="35" t="s">
        <v>816</v>
      </c>
      <c r="P17" s="35" t="s">
        <v>669</v>
      </c>
    </row>
    <row r="18" spans="1:16" ht="13.2" customHeight="1" x14ac:dyDescent="0.25">
      <c r="A18" s="33">
        <v>16</v>
      </c>
      <c r="B18" s="34" t="s">
        <v>6545</v>
      </c>
      <c r="C18" s="35"/>
      <c r="D18" s="34" t="s">
        <v>1133</v>
      </c>
      <c r="E18" s="34" t="s">
        <v>6481</v>
      </c>
      <c r="F18" s="34" t="s">
        <v>6546</v>
      </c>
      <c r="G18" s="34" t="s">
        <v>6528</v>
      </c>
      <c r="H18" s="34" t="s">
        <v>5032</v>
      </c>
      <c r="I18" s="33" t="s">
        <v>123</v>
      </c>
      <c r="J18" s="34" t="s">
        <v>6547</v>
      </c>
      <c r="K18" s="35"/>
      <c r="L18" s="34" t="s">
        <v>6448</v>
      </c>
      <c r="M18" s="35" t="s">
        <v>29</v>
      </c>
      <c r="N18" s="34" t="s">
        <v>2831</v>
      </c>
      <c r="O18" s="35" t="s">
        <v>816</v>
      </c>
      <c r="P18" s="35" t="s">
        <v>669</v>
      </c>
    </row>
    <row r="19" spans="1:16" ht="13.2" customHeight="1" x14ac:dyDescent="0.25">
      <c r="A19" s="33">
        <v>17</v>
      </c>
      <c r="B19" s="34" t="s">
        <v>6548</v>
      </c>
      <c r="C19" s="35"/>
      <c r="D19" s="34" t="s">
        <v>6549</v>
      </c>
      <c r="E19" s="34" t="s">
        <v>6550</v>
      </c>
      <c r="F19" s="34" t="s">
        <v>6551</v>
      </c>
      <c r="G19" s="34" t="s">
        <v>6552</v>
      </c>
      <c r="H19" s="34" t="s">
        <v>6553</v>
      </c>
      <c r="I19" s="33" t="s">
        <v>90</v>
      </c>
      <c r="J19" s="34" t="s">
        <v>6554</v>
      </c>
      <c r="K19" s="35"/>
      <c r="L19" s="34" t="s">
        <v>6448</v>
      </c>
      <c r="M19" s="35" t="s">
        <v>29</v>
      </c>
      <c r="N19" s="34" t="s">
        <v>6555</v>
      </c>
      <c r="O19" s="35" t="s">
        <v>816</v>
      </c>
      <c r="P19" s="35" t="s">
        <v>669</v>
      </c>
    </row>
    <row r="20" spans="1:16" ht="13.2" customHeight="1" x14ac:dyDescent="0.25">
      <c r="A20" s="33">
        <v>18</v>
      </c>
      <c r="B20" s="34" t="s">
        <v>6556</v>
      </c>
      <c r="C20" s="35"/>
      <c r="D20" s="34" t="s">
        <v>6557</v>
      </c>
      <c r="E20" s="34" t="s">
        <v>6558</v>
      </c>
      <c r="F20" s="34" t="s">
        <v>6559</v>
      </c>
      <c r="G20" s="34" t="s">
        <v>6560</v>
      </c>
      <c r="H20" s="34" t="s">
        <v>6561</v>
      </c>
      <c r="I20" s="33" t="s">
        <v>113</v>
      </c>
      <c r="J20" s="34" t="s">
        <v>6562</v>
      </c>
      <c r="K20" s="35"/>
      <c r="L20" s="34" t="s">
        <v>6448</v>
      </c>
      <c r="M20" s="35" t="s">
        <v>29</v>
      </c>
      <c r="N20" s="34" t="s">
        <v>5348</v>
      </c>
      <c r="O20" s="35" t="s">
        <v>816</v>
      </c>
      <c r="P20" s="35" t="s">
        <v>669</v>
      </c>
    </row>
    <row r="21" spans="1:16" ht="13.2" customHeight="1" x14ac:dyDescent="0.25">
      <c r="A21" s="33">
        <v>19</v>
      </c>
      <c r="B21" s="34" t="s">
        <v>6563</v>
      </c>
      <c r="C21" s="35"/>
      <c r="D21" s="34" t="s">
        <v>6564</v>
      </c>
      <c r="E21" s="34" t="s">
        <v>6565</v>
      </c>
      <c r="F21" s="34" t="s">
        <v>6566</v>
      </c>
      <c r="G21" s="34" t="s">
        <v>6567</v>
      </c>
      <c r="H21" s="34" t="s">
        <v>6568</v>
      </c>
      <c r="I21" s="33" t="s">
        <v>123</v>
      </c>
      <c r="J21" s="34" t="s">
        <v>6569</v>
      </c>
      <c r="K21" s="35"/>
      <c r="L21" s="34" t="s">
        <v>6448</v>
      </c>
      <c r="M21" s="35" t="s">
        <v>29</v>
      </c>
      <c r="N21" s="34" t="s">
        <v>783</v>
      </c>
      <c r="O21" s="35" t="s">
        <v>816</v>
      </c>
      <c r="P21" s="35" t="s">
        <v>669</v>
      </c>
    </row>
    <row r="22" spans="1:16" ht="13.2" customHeight="1" x14ac:dyDescent="0.25">
      <c r="A22" s="33">
        <v>20</v>
      </c>
      <c r="B22" s="34" t="s">
        <v>6570</v>
      </c>
      <c r="C22" s="35"/>
      <c r="D22" s="34" t="s">
        <v>6571</v>
      </c>
      <c r="E22" s="34" t="s">
        <v>6572</v>
      </c>
      <c r="F22" s="34" t="s">
        <v>6573</v>
      </c>
      <c r="G22" s="34" t="s">
        <v>6574</v>
      </c>
      <c r="H22" s="34" t="s">
        <v>6575</v>
      </c>
      <c r="I22" s="33" t="s">
        <v>96</v>
      </c>
      <c r="J22" s="34" t="s">
        <v>6576</v>
      </c>
      <c r="K22" s="35"/>
      <c r="L22" s="34" t="s">
        <v>6448</v>
      </c>
      <c r="M22" s="35" t="s">
        <v>29</v>
      </c>
      <c r="N22" s="34" t="s">
        <v>5359</v>
      </c>
      <c r="O22" s="35" t="s">
        <v>816</v>
      </c>
      <c r="P22" s="35" t="s">
        <v>669</v>
      </c>
    </row>
    <row r="23" spans="1:16" ht="13.2" customHeight="1" x14ac:dyDescent="0.25">
      <c r="A23" s="33">
        <v>21</v>
      </c>
      <c r="B23" s="34" t="s">
        <v>6577</v>
      </c>
      <c r="C23" s="35"/>
      <c r="D23" s="34" t="s">
        <v>6578</v>
      </c>
      <c r="E23" s="34" t="s">
        <v>6579</v>
      </c>
      <c r="F23" s="34" t="s">
        <v>6580</v>
      </c>
      <c r="G23" s="34" t="s">
        <v>6581</v>
      </c>
      <c r="H23" s="34" t="s">
        <v>6582</v>
      </c>
      <c r="I23" s="33" t="s">
        <v>113</v>
      </c>
      <c r="J23" s="34" t="s">
        <v>6583</v>
      </c>
      <c r="K23" s="35"/>
      <c r="L23" s="34" t="s">
        <v>6448</v>
      </c>
      <c r="M23" s="35" t="s">
        <v>29</v>
      </c>
      <c r="N23" s="34" t="s">
        <v>1831</v>
      </c>
      <c r="O23" s="35" t="s">
        <v>816</v>
      </c>
      <c r="P23" s="35" t="s">
        <v>669</v>
      </c>
    </row>
    <row r="24" spans="1:16" ht="13.2" customHeight="1" x14ac:dyDescent="0.25">
      <c r="A24" s="33">
        <v>22</v>
      </c>
      <c r="B24" s="34" t="s">
        <v>6584</v>
      </c>
      <c r="C24" s="35"/>
      <c r="D24" s="34" t="s">
        <v>6585</v>
      </c>
      <c r="E24" s="34" t="s">
        <v>6586</v>
      </c>
      <c r="F24" s="34" t="s">
        <v>276</v>
      </c>
      <c r="G24" s="34" t="s">
        <v>6485</v>
      </c>
      <c r="H24" s="34" t="s">
        <v>6587</v>
      </c>
      <c r="I24" s="33" t="s">
        <v>84</v>
      </c>
      <c r="J24" s="34" t="s">
        <v>6588</v>
      </c>
      <c r="K24" s="35"/>
      <c r="L24" s="34" t="s">
        <v>6448</v>
      </c>
      <c r="M24" s="35" t="s">
        <v>29</v>
      </c>
      <c r="N24" s="34" t="s">
        <v>2877</v>
      </c>
      <c r="O24" s="35" t="s">
        <v>816</v>
      </c>
      <c r="P24" s="35" t="s">
        <v>669</v>
      </c>
    </row>
    <row r="25" spans="1:16" ht="13.2" customHeight="1" x14ac:dyDescent="0.25">
      <c r="A25" s="33">
        <v>23</v>
      </c>
      <c r="B25" s="34" t="s">
        <v>6589</v>
      </c>
      <c r="C25" s="35"/>
      <c r="D25" s="34" t="s">
        <v>6590</v>
      </c>
      <c r="E25" s="34" t="s">
        <v>6591</v>
      </c>
      <c r="F25" s="34" t="s">
        <v>6592</v>
      </c>
      <c r="G25" s="34" t="s">
        <v>6593</v>
      </c>
      <c r="H25" s="34" t="s">
        <v>6594</v>
      </c>
      <c r="I25" s="33" t="s">
        <v>90</v>
      </c>
      <c r="J25" s="34" t="s">
        <v>6595</v>
      </c>
      <c r="K25" s="35"/>
      <c r="L25" s="34" t="s">
        <v>6448</v>
      </c>
      <c r="M25" s="35" t="s">
        <v>29</v>
      </c>
      <c r="N25" s="34" t="s">
        <v>6596</v>
      </c>
      <c r="O25" s="35" t="s">
        <v>816</v>
      </c>
      <c r="P25" s="35" t="s">
        <v>669</v>
      </c>
    </row>
    <row r="26" spans="1:16" ht="13.2" customHeight="1" x14ac:dyDescent="0.25">
      <c r="A26" s="33">
        <v>24</v>
      </c>
      <c r="B26" s="34" t="s">
        <v>6597</v>
      </c>
      <c r="C26" s="35"/>
      <c r="D26" s="34" t="s">
        <v>6598</v>
      </c>
      <c r="E26" s="34" t="s">
        <v>6599</v>
      </c>
      <c r="F26" s="34" t="s">
        <v>6600</v>
      </c>
      <c r="G26" s="34" t="s">
        <v>6601</v>
      </c>
      <c r="H26" s="34" t="s">
        <v>6602</v>
      </c>
      <c r="I26" s="33" t="s">
        <v>84</v>
      </c>
      <c r="J26" s="34" t="s">
        <v>6603</v>
      </c>
      <c r="K26" s="35"/>
      <c r="L26" s="34" t="s">
        <v>6448</v>
      </c>
      <c r="M26" s="35" t="s">
        <v>29</v>
      </c>
      <c r="N26" s="34" t="s">
        <v>815</v>
      </c>
      <c r="O26" s="35" t="s">
        <v>816</v>
      </c>
      <c r="P26" s="35" t="s">
        <v>669</v>
      </c>
    </row>
    <row r="27" spans="1:16" ht="13.2" customHeight="1" x14ac:dyDescent="0.25">
      <c r="A27" s="33">
        <v>25</v>
      </c>
      <c r="B27" s="34" t="s">
        <v>6604</v>
      </c>
      <c r="C27" s="35"/>
      <c r="D27" s="34" t="s">
        <v>6429</v>
      </c>
      <c r="E27" s="34" t="s">
        <v>6605</v>
      </c>
      <c r="F27" s="34" t="s">
        <v>6606</v>
      </c>
      <c r="G27" s="34" t="s">
        <v>6607</v>
      </c>
      <c r="H27" s="34" t="s">
        <v>6608</v>
      </c>
      <c r="I27" s="33" t="s">
        <v>123</v>
      </c>
      <c r="J27" s="34" t="s">
        <v>6609</v>
      </c>
      <c r="K27" s="35"/>
      <c r="L27" s="34" t="s">
        <v>6448</v>
      </c>
      <c r="M27" s="35" t="s">
        <v>29</v>
      </c>
      <c r="N27" s="34" t="s">
        <v>6610</v>
      </c>
      <c r="O27" s="35" t="s">
        <v>816</v>
      </c>
      <c r="P27" s="35" t="s">
        <v>669</v>
      </c>
    </row>
    <row r="28" spans="1:16" ht="13.2" customHeight="1" x14ac:dyDescent="0.25">
      <c r="A28" s="33">
        <v>26</v>
      </c>
      <c r="B28" s="34" t="s">
        <v>6611</v>
      </c>
      <c r="C28" s="35"/>
      <c r="D28" s="34" t="s">
        <v>5032</v>
      </c>
      <c r="E28" s="34" t="s">
        <v>1133</v>
      </c>
      <c r="F28" s="34" t="s">
        <v>6612</v>
      </c>
      <c r="G28" s="34" t="s">
        <v>2328</v>
      </c>
      <c r="H28" s="34" t="s">
        <v>6613</v>
      </c>
      <c r="I28" s="33" t="s">
        <v>84</v>
      </c>
      <c r="J28" s="34" t="s">
        <v>6614</v>
      </c>
      <c r="K28" s="35"/>
      <c r="L28" s="34" t="s">
        <v>6448</v>
      </c>
      <c r="M28" s="35" t="s">
        <v>29</v>
      </c>
      <c r="N28" s="34" t="s">
        <v>2908</v>
      </c>
      <c r="O28" s="35" t="s">
        <v>816</v>
      </c>
      <c r="P28" s="35" t="s">
        <v>669</v>
      </c>
    </row>
    <row r="29" spans="1:16" ht="13.2" customHeight="1" x14ac:dyDescent="0.25">
      <c r="A29" s="33">
        <v>27</v>
      </c>
      <c r="B29" s="34" t="s">
        <v>6615</v>
      </c>
      <c r="C29" s="35"/>
      <c r="D29" s="34" t="s">
        <v>6429</v>
      </c>
      <c r="E29" s="34" t="s">
        <v>6605</v>
      </c>
      <c r="F29" s="34" t="s">
        <v>190</v>
      </c>
      <c r="G29" s="34" t="s">
        <v>520</v>
      </c>
      <c r="H29" s="34" t="s">
        <v>6608</v>
      </c>
      <c r="I29" s="33" t="s">
        <v>96</v>
      </c>
      <c r="J29" s="34" t="s">
        <v>6616</v>
      </c>
      <c r="K29" s="35"/>
      <c r="L29" s="34" t="s">
        <v>6448</v>
      </c>
      <c r="M29" s="35" t="s">
        <v>29</v>
      </c>
      <c r="N29" s="34" t="s">
        <v>6617</v>
      </c>
      <c r="O29" s="35" t="s">
        <v>816</v>
      </c>
      <c r="P29" s="35" t="s">
        <v>669</v>
      </c>
    </row>
    <row r="30" spans="1:16" ht="13.2" customHeight="1" x14ac:dyDescent="0.25">
      <c r="A30" s="33">
        <v>28</v>
      </c>
      <c r="B30" s="34" t="s">
        <v>6618</v>
      </c>
      <c r="C30" s="35"/>
      <c r="D30" s="34" t="s">
        <v>6619</v>
      </c>
      <c r="E30" s="34" t="s">
        <v>796</v>
      </c>
      <c r="F30" s="34" t="s">
        <v>4788</v>
      </c>
      <c r="G30" s="34" t="s">
        <v>6620</v>
      </c>
      <c r="H30" s="34" t="s">
        <v>795</v>
      </c>
      <c r="I30" s="33" t="s">
        <v>123</v>
      </c>
      <c r="J30" s="34" t="s">
        <v>6621</v>
      </c>
      <c r="K30" s="35"/>
      <c r="L30" s="34" t="s">
        <v>6448</v>
      </c>
      <c r="M30" s="35" t="s">
        <v>29</v>
      </c>
      <c r="N30" s="34" t="s">
        <v>6622</v>
      </c>
      <c r="O30" s="35" t="s">
        <v>816</v>
      </c>
      <c r="P30" s="35" t="s">
        <v>669</v>
      </c>
    </row>
    <row r="31" spans="1:16" ht="13.2" customHeight="1" x14ac:dyDescent="0.25">
      <c r="A31" s="33">
        <v>29</v>
      </c>
      <c r="B31" s="34" t="s">
        <v>6623</v>
      </c>
      <c r="C31" s="35"/>
      <c r="D31" s="34" t="s">
        <v>2722</v>
      </c>
      <c r="E31" s="34" t="s">
        <v>1133</v>
      </c>
      <c r="F31" s="34" t="s">
        <v>6481</v>
      </c>
      <c r="G31" s="34" t="s">
        <v>6485</v>
      </c>
      <c r="H31" s="34" t="s">
        <v>622</v>
      </c>
      <c r="I31" s="33" t="s">
        <v>113</v>
      </c>
      <c r="J31" s="34" t="s">
        <v>6624</v>
      </c>
      <c r="K31" s="35"/>
      <c r="L31" s="34" t="s">
        <v>6448</v>
      </c>
      <c r="M31" s="35" t="s">
        <v>29</v>
      </c>
      <c r="N31" s="34" t="s">
        <v>6625</v>
      </c>
      <c r="O31" s="35" t="s">
        <v>816</v>
      </c>
      <c r="P31" s="35" t="s">
        <v>669</v>
      </c>
    </row>
    <row r="32" spans="1:16" ht="13.2" customHeight="1" x14ac:dyDescent="0.25">
      <c r="A32" s="33">
        <v>30</v>
      </c>
      <c r="B32" s="34" t="s">
        <v>6626</v>
      </c>
      <c r="C32" s="35"/>
      <c r="D32" s="34" t="s">
        <v>6627</v>
      </c>
      <c r="E32" s="34" t="s">
        <v>6628</v>
      </c>
      <c r="F32" s="34" t="s">
        <v>6629</v>
      </c>
      <c r="G32" s="34" t="s">
        <v>6630</v>
      </c>
      <c r="H32" s="34" t="s">
        <v>6631</v>
      </c>
      <c r="I32" s="33" t="s">
        <v>84</v>
      </c>
      <c r="J32" s="34" t="s">
        <v>6632</v>
      </c>
      <c r="K32" s="35"/>
      <c r="L32" s="34" t="s">
        <v>6448</v>
      </c>
      <c r="M32" s="35" t="s">
        <v>29</v>
      </c>
      <c r="N32" s="34" t="s">
        <v>5433</v>
      </c>
      <c r="O32" s="35" t="s">
        <v>816</v>
      </c>
      <c r="P32" s="35" t="s">
        <v>669</v>
      </c>
    </row>
    <row r="33" spans="1:17" ht="13.2" customHeight="1" x14ac:dyDescent="0.25">
      <c r="A33" s="33">
        <v>31</v>
      </c>
      <c r="B33" s="34" t="s">
        <v>6633</v>
      </c>
      <c r="C33" s="35"/>
      <c r="D33" s="34" t="s">
        <v>6634</v>
      </c>
      <c r="E33" s="34" t="s">
        <v>6635</v>
      </c>
      <c r="F33" s="34" t="s">
        <v>6636</v>
      </c>
      <c r="G33" s="34" t="s">
        <v>6637</v>
      </c>
      <c r="H33" s="34" t="s">
        <v>6638</v>
      </c>
      <c r="I33" s="33" t="s">
        <v>123</v>
      </c>
      <c r="J33" s="34" t="s">
        <v>6639</v>
      </c>
      <c r="K33" s="35"/>
      <c r="L33" s="34" t="s">
        <v>6448</v>
      </c>
      <c r="M33" s="35" t="s">
        <v>29</v>
      </c>
      <c r="N33" s="34" t="s">
        <v>865</v>
      </c>
      <c r="O33" s="35" t="s">
        <v>816</v>
      </c>
      <c r="P33" s="35" t="s">
        <v>669</v>
      </c>
    </row>
    <row r="34" spans="1:17" ht="13.2" customHeight="1" x14ac:dyDescent="0.25">
      <c r="A34" s="33">
        <v>32</v>
      </c>
      <c r="B34" s="34" t="s">
        <v>6640</v>
      </c>
      <c r="C34" s="35"/>
      <c r="D34" s="34" t="s">
        <v>6641</v>
      </c>
      <c r="E34" s="34" t="s">
        <v>6642</v>
      </c>
      <c r="F34" s="34" t="s">
        <v>6643</v>
      </c>
      <c r="G34" s="34" t="s">
        <v>6644</v>
      </c>
      <c r="H34" s="34" t="s">
        <v>6645</v>
      </c>
      <c r="I34" s="33" t="s">
        <v>84</v>
      </c>
      <c r="J34" s="34" t="s">
        <v>6646</v>
      </c>
      <c r="K34" s="35"/>
      <c r="L34" s="34" t="s">
        <v>6448</v>
      </c>
      <c r="M34" s="35" t="s">
        <v>29</v>
      </c>
      <c r="N34" s="34" t="s">
        <v>5448</v>
      </c>
      <c r="O34" s="35" t="s">
        <v>816</v>
      </c>
      <c r="P34" s="35" t="s">
        <v>669</v>
      </c>
    </row>
    <row r="35" spans="1:17" ht="13.2" customHeight="1" x14ac:dyDescent="0.25">
      <c r="A35" s="33">
        <v>33</v>
      </c>
      <c r="B35" s="34" t="s">
        <v>6647</v>
      </c>
      <c r="C35" s="35"/>
      <c r="D35" s="34" t="s">
        <v>6648</v>
      </c>
      <c r="E35" s="34" t="s">
        <v>6649</v>
      </c>
      <c r="F35" s="34" t="s">
        <v>6650</v>
      </c>
      <c r="G35" s="34" t="s">
        <v>6179</v>
      </c>
      <c r="H35" s="34" t="s">
        <v>6651</v>
      </c>
      <c r="I35" s="33" t="s">
        <v>123</v>
      </c>
      <c r="J35" s="34" t="s">
        <v>6652</v>
      </c>
      <c r="K35" s="35"/>
      <c r="L35" s="34" t="s">
        <v>6448</v>
      </c>
      <c r="M35" s="35" t="s">
        <v>29</v>
      </c>
      <c r="N35" s="34" t="s">
        <v>877</v>
      </c>
      <c r="O35" s="35" t="s">
        <v>816</v>
      </c>
      <c r="P35" s="35" t="s">
        <v>669</v>
      </c>
    </row>
    <row r="36" spans="1:17" ht="13.2" customHeight="1" x14ac:dyDescent="0.25">
      <c r="A36" s="33">
        <v>34</v>
      </c>
      <c r="B36" s="34" t="s">
        <v>6653</v>
      </c>
      <c r="C36" s="35"/>
      <c r="D36" s="34" t="s">
        <v>6654</v>
      </c>
      <c r="E36" s="34" t="s">
        <v>6655</v>
      </c>
      <c r="F36" s="34" t="s">
        <v>6656</v>
      </c>
      <c r="G36" s="34" t="s">
        <v>6657</v>
      </c>
      <c r="H36" s="34" t="s">
        <v>6658</v>
      </c>
      <c r="I36" s="33" t="s">
        <v>96</v>
      </c>
      <c r="J36" s="34" t="s">
        <v>6659</v>
      </c>
      <c r="K36" s="35"/>
      <c r="L36" s="34" t="s">
        <v>6448</v>
      </c>
      <c r="M36" s="35" t="s">
        <v>29</v>
      </c>
      <c r="N36" s="34" t="s">
        <v>6660</v>
      </c>
      <c r="O36" s="35" t="s">
        <v>816</v>
      </c>
      <c r="P36" s="35" t="s">
        <v>669</v>
      </c>
    </row>
    <row r="37" spans="1:17" ht="13.2" customHeight="1" x14ac:dyDescent="0.25">
      <c r="A37" s="33">
        <v>35</v>
      </c>
      <c r="B37" s="34" t="s">
        <v>6661</v>
      </c>
      <c r="C37" s="35"/>
      <c r="D37" s="34" t="s">
        <v>6662</v>
      </c>
      <c r="E37" s="34" t="s">
        <v>6627</v>
      </c>
      <c r="F37" s="34" t="s">
        <v>6628</v>
      </c>
      <c r="G37" s="34" t="s">
        <v>1133</v>
      </c>
      <c r="H37" s="34" t="s">
        <v>6453</v>
      </c>
      <c r="I37" s="33" t="s">
        <v>84</v>
      </c>
      <c r="J37" s="34" t="s">
        <v>6663</v>
      </c>
      <c r="K37" s="35"/>
      <c r="L37" s="34" t="s">
        <v>6448</v>
      </c>
      <c r="M37" s="35" t="s">
        <v>29</v>
      </c>
      <c r="N37" s="34" t="s">
        <v>6664</v>
      </c>
      <c r="O37" s="35" t="s">
        <v>816</v>
      </c>
      <c r="P37" s="35" t="s">
        <v>669</v>
      </c>
    </row>
    <row r="38" spans="1:17" ht="13.2" customHeight="1" x14ac:dyDescent="0.25">
      <c r="A38" s="33">
        <v>36</v>
      </c>
      <c r="B38" s="34" t="s">
        <v>6665</v>
      </c>
      <c r="C38" s="35"/>
      <c r="D38" s="34" t="s">
        <v>624</v>
      </c>
      <c r="E38" s="34" t="s">
        <v>6666</v>
      </c>
      <c r="F38" s="34" t="s">
        <v>621</v>
      </c>
      <c r="G38" s="34" t="s">
        <v>6667</v>
      </c>
      <c r="H38" s="34" t="s">
        <v>2724</v>
      </c>
      <c r="I38" s="33" t="s">
        <v>113</v>
      </c>
      <c r="J38" s="34" t="s">
        <v>6668</v>
      </c>
      <c r="K38" s="35"/>
      <c r="L38" s="34" t="s">
        <v>6448</v>
      </c>
      <c r="M38" s="35" t="s">
        <v>29</v>
      </c>
      <c r="N38" s="34" t="s">
        <v>901</v>
      </c>
      <c r="O38" s="35" t="s">
        <v>816</v>
      </c>
      <c r="P38" s="35" t="s">
        <v>669</v>
      </c>
    </row>
    <row r="39" spans="1:17" ht="13.2" customHeight="1" x14ac:dyDescent="0.25">
      <c r="A39" s="33">
        <v>37</v>
      </c>
      <c r="B39" s="34" t="s">
        <v>6669</v>
      </c>
      <c r="C39" s="35"/>
      <c r="D39" s="34" t="s">
        <v>6605</v>
      </c>
      <c r="E39" s="34" t="s">
        <v>6670</v>
      </c>
      <c r="F39" s="34" t="s">
        <v>6671</v>
      </c>
      <c r="G39" s="34" t="s">
        <v>6672</v>
      </c>
      <c r="H39" s="34" t="s">
        <v>6673</v>
      </c>
      <c r="I39" s="33" t="s">
        <v>84</v>
      </c>
      <c r="J39" s="34" t="s">
        <v>6674</v>
      </c>
      <c r="K39" s="35"/>
      <c r="L39" s="34" t="s">
        <v>6448</v>
      </c>
      <c r="M39" s="35" t="s">
        <v>29</v>
      </c>
      <c r="N39" s="34" t="s">
        <v>6675</v>
      </c>
      <c r="O39" s="35" t="s">
        <v>816</v>
      </c>
      <c r="P39" s="35" t="s">
        <v>669</v>
      </c>
    </row>
    <row r="40" spans="1:17" ht="13.2" customHeight="1" x14ac:dyDescent="0.25">
      <c r="A40" s="33">
        <v>38</v>
      </c>
      <c r="B40" s="34" t="s">
        <v>6676</v>
      </c>
      <c r="C40" s="35"/>
      <c r="D40" s="34" t="s">
        <v>6627</v>
      </c>
      <c r="E40" s="34" t="s">
        <v>6677</v>
      </c>
      <c r="F40" s="34" t="s">
        <v>6628</v>
      </c>
      <c r="G40" s="34" t="s">
        <v>5032</v>
      </c>
      <c r="H40" s="34" t="s">
        <v>6629</v>
      </c>
      <c r="I40" s="33" t="s">
        <v>84</v>
      </c>
      <c r="J40" s="34" t="s">
        <v>6678</v>
      </c>
      <c r="K40" s="35"/>
      <c r="L40" s="34" t="s">
        <v>6448</v>
      </c>
      <c r="M40" s="35" t="s">
        <v>29</v>
      </c>
      <c r="N40" s="34" t="s">
        <v>6679</v>
      </c>
      <c r="O40" s="35" t="s">
        <v>816</v>
      </c>
      <c r="P40" s="35" t="s">
        <v>669</v>
      </c>
    </row>
    <row r="41" spans="1:17" ht="13.2" customHeight="1" x14ac:dyDescent="0.25">
      <c r="A41" s="33">
        <v>39</v>
      </c>
      <c r="B41" s="34" t="s">
        <v>6680</v>
      </c>
      <c r="C41" s="35"/>
      <c r="D41" s="34" t="s">
        <v>6681</v>
      </c>
      <c r="E41" s="34" t="s">
        <v>6682</v>
      </c>
      <c r="F41" s="34" t="s">
        <v>6683</v>
      </c>
      <c r="G41" s="34" t="s">
        <v>6684</v>
      </c>
      <c r="H41" s="34" t="s">
        <v>6685</v>
      </c>
      <c r="I41" s="33" t="s">
        <v>84</v>
      </c>
      <c r="J41" s="34" t="s">
        <v>6686</v>
      </c>
      <c r="K41" s="35"/>
      <c r="L41" s="34" t="s">
        <v>6448</v>
      </c>
      <c r="M41" s="35" t="s">
        <v>29</v>
      </c>
      <c r="N41" s="34" t="s">
        <v>6687</v>
      </c>
      <c r="O41" s="35" t="s">
        <v>816</v>
      </c>
      <c r="P41" s="35" t="s">
        <v>1849</v>
      </c>
      <c r="Q41" s="2"/>
    </row>
    <row r="42" spans="1:17" ht="13.2" customHeight="1" x14ac:dyDescent="0.25">
      <c r="A42" s="33">
        <v>40</v>
      </c>
      <c r="B42" s="34" t="s">
        <v>6688</v>
      </c>
      <c r="C42" s="35"/>
      <c r="D42" s="34" t="s">
        <v>6448</v>
      </c>
      <c r="E42" s="34" t="s">
        <v>6689</v>
      </c>
      <c r="F42" s="34" t="s">
        <v>6690</v>
      </c>
      <c r="G42" s="34" t="s">
        <v>6691</v>
      </c>
      <c r="H42" s="34" t="s">
        <v>6692</v>
      </c>
      <c r="I42" s="33" t="s">
        <v>84</v>
      </c>
      <c r="J42" s="34" t="s">
        <v>6693</v>
      </c>
      <c r="K42" s="35"/>
      <c r="L42" s="34" t="s">
        <v>6448</v>
      </c>
      <c r="M42" s="35" t="s">
        <v>29</v>
      </c>
      <c r="N42" s="34" t="s">
        <v>6694</v>
      </c>
      <c r="O42" s="35" t="s">
        <v>816</v>
      </c>
      <c r="P42" s="35" t="s">
        <v>1849</v>
      </c>
    </row>
    <row r="43" spans="1:17" ht="13.2" customHeight="1" x14ac:dyDescent="0.25">
      <c r="A43" s="33">
        <v>41</v>
      </c>
      <c r="B43" s="34" t="s">
        <v>6695</v>
      </c>
      <c r="C43" s="35"/>
      <c r="D43" s="34" t="s">
        <v>6696</v>
      </c>
      <c r="E43" s="34" t="s">
        <v>6697</v>
      </c>
      <c r="F43" s="34" t="s">
        <v>6698</v>
      </c>
      <c r="G43" s="34" t="s">
        <v>6699</v>
      </c>
      <c r="H43" s="34" t="s">
        <v>6700</v>
      </c>
      <c r="I43" s="33" t="s">
        <v>96</v>
      </c>
      <c r="J43" s="34" t="s">
        <v>6701</v>
      </c>
      <c r="K43" s="35"/>
      <c r="L43" s="34" t="s">
        <v>6448</v>
      </c>
      <c r="M43" s="35" t="s">
        <v>29</v>
      </c>
      <c r="N43" s="34" t="s">
        <v>6702</v>
      </c>
      <c r="O43" s="35" t="s">
        <v>816</v>
      </c>
      <c r="P43" s="35" t="s">
        <v>1849</v>
      </c>
      <c r="Q43" s="2"/>
    </row>
    <row r="44" spans="1:17" ht="13.2" customHeight="1" x14ac:dyDescent="0.25">
      <c r="A44" s="33">
        <v>42</v>
      </c>
      <c r="B44" s="34" t="s">
        <v>6703</v>
      </c>
      <c r="C44" s="35"/>
      <c r="D44" s="34" t="s">
        <v>6704</v>
      </c>
      <c r="E44" s="34" t="s">
        <v>6705</v>
      </c>
      <c r="F44" s="34" t="s">
        <v>6706</v>
      </c>
      <c r="G44" s="34" t="s">
        <v>6707</v>
      </c>
      <c r="H44" s="34" t="s">
        <v>6708</v>
      </c>
      <c r="I44" s="33" t="s">
        <v>90</v>
      </c>
      <c r="J44" s="34" t="s">
        <v>6709</v>
      </c>
      <c r="K44" s="35"/>
      <c r="L44" s="34" t="s">
        <v>6448</v>
      </c>
      <c r="M44" s="35" t="s">
        <v>29</v>
      </c>
      <c r="N44" s="34" t="s">
        <v>6710</v>
      </c>
      <c r="O44" s="35" t="s">
        <v>816</v>
      </c>
      <c r="P44" s="35" t="s">
        <v>1849</v>
      </c>
      <c r="Q44" s="2"/>
    </row>
    <row r="45" spans="1:17" ht="13.2" customHeight="1" x14ac:dyDescent="0.25">
      <c r="A45" s="33">
        <v>43</v>
      </c>
      <c r="B45" s="34" t="s">
        <v>6711</v>
      </c>
      <c r="C45" s="35"/>
      <c r="D45" s="34" t="s">
        <v>6712</v>
      </c>
      <c r="E45" s="34" t="s">
        <v>6713</v>
      </c>
      <c r="F45" s="34" t="s">
        <v>6714</v>
      </c>
      <c r="G45" s="34" t="s">
        <v>6715</v>
      </c>
      <c r="H45" s="34" t="s">
        <v>6716</v>
      </c>
      <c r="I45" s="33" t="s">
        <v>84</v>
      </c>
      <c r="J45" s="34" t="s">
        <v>6717</v>
      </c>
      <c r="K45" s="35"/>
      <c r="L45" s="34" t="s">
        <v>6448</v>
      </c>
      <c r="M45" s="35" t="s">
        <v>29</v>
      </c>
      <c r="N45" s="34" t="s">
        <v>6718</v>
      </c>
      <c r="O45" s="35" t="s">
        <v>164</v>
      </c>
      <c r="P45" s="35" t="s">
        <v>1865</v>
      </c>
      <c r="Q45" s="2"/>
    </row>
    <row r="46" spans="1:17" ht="13.2" customHeight="1" x14ac:dyDescent="0.25">
      <c r="A46" s="33">
        <v>44</v>
      </c>
      <c r="B46" s="34" t="s">
        <v>6719</v>
      </c>
      <c r="C46" s="35"/>
      <c r="D46" s="34" t="s">
        <v>6720</v>
      </c>
      <c r="E46" s="34" t="s">
        <v>6721</v>
      </c>
      <c r="F46" s="34" t="s">
        <v>6722</v>
      </c>
      <c r="G46" s="34" t="s">
        <v>6723</v>
      </c>
      <c r="H46" s="34" t="s">
        <v>6724</v>
      </c>
      <c r="I46" s="33" t="s">
        <v>84</v>
      </c>
      <c r="J46" s="34" t="s">
        <v>6725</v>
      </c>
      <c r="K46" s="35"/>
      <c r="L46" s="34" t="s">
        <v>6448</v>
      </c>
      <c r="M46" s="35" t="s">
        <v>29</v>
      </c>
      <c r="N46" s="34" t="s">
        <v>6726</v>
      </c>
      <c r="O46" s="35" t="s">
        <v>164</v>
      </c>
      <c r="P46" s="35" t="s">
        <v>1865</v>
      </c>
      <c r="Q46" s="2"/>
    </row>
    <row r="47" spans="1:17" ht="13.2" customHeight="1" x14ac:dyDescent="0.25">
      <c r="A47" s="33">
        <v>45</v>
      </c>
      <c r="B47" s="34" t="s">
        <v>6727</v>
      </c>
      <c r="C47" s="35"/>
      <c r="D47" s="34" t="s">
        <v>6728</v>
      </c>
      <c r="E47" s="34" t="s">
        <v>6729</v>
      </c>
      <c r="F47" s="34" t="s">
        <v>6730</v>
      </c>
      <c r="G47" s="34" t="s">
        <v>6730</v>
      </c>
      <c r="H47" s="34" t="s">
        <v>6730</v>
      </c>
      <c r="I47" s="33" t="s">
        <v>84</v>
      </c>
      <c r="J47" s="34" t="s">
        <v>6731</v>
      </c>
      <c r="K47" s="35"/>
      <c r="L47" s="34" t="s">
        <v>6448</v>
      </c>
      <c r="M47" s="35" t="s">
        <v>29</v>
      </c>
      <c r="N47" s="34" t="s">
        <v>6732</v>
      </c>
      <c r="O47" s="35" t="s">
        <v>164</v>
      </c>
      <c r="P47" s="35" t="s">
        <v>1865</v>
      </c>
      <c r="Q47" s="2"/>
    </row>
    <row r="48" spans="1:17" ht="13.2" customHeight="1" x14ac:dyDescent="0.25">
      <c r="A48" s="33">
        <v>46</v>
      </c>
      <c r="B48" s="34" t="s">
        <v>6733</v>
      </c>
      <c r="C48" s="35"/>
      <c r="D48" s="34" t="s">
        <v>6734</v>
      </c>
      <c r="E48" s="34" t="s">
        <v>6735</v>
      </c>
      <c r="F48" s="34" t="s">
        <v>6736</v>
      </c>
      <c r="G48" s="34" t="s">
        <v>6737</v>
      </c>
      <c r="H48" s="34" t="s">
        <v>6738</v>
      </c>
      <c r="I48" s="33" t="s">
        <v>84</v>
      </c>
      <c r="J48" s="34" t="s">
        <v>6739</v>
      </c>
      <c r="K48" s="35"/>
      <c r="L48" s="34" t="s">
        <v>6448</v>
      </c>
      <c r="M48" s="35" t="s">
        <v>29</v>
      </c>
      <c r="N48" s="34" t="s">
        <v>6740</v>
      </c>
      <c r="O48" s="35" t="s">
        <v>164</v>
      </c>
      <c r="P48" s="35" t="s">
        <v>1865</v>
      </c>
      <c r="Q48" s="2"/>
    </row>
    <row r="49" spans="1:17" ht="13.2" customHeight="1" x14ac:dyDescent="0.25">
      <c r="A49" s="33">
        <v>47</v>
      </c>
      <c r="B49" s="34" t="s">
        <v>6727</v>
      </c>
      <c r="C49" s="35"/>
      <c r="D49" s="34" t="s">
        <v>6741</v>
      </c>
      <c r="E49" s="34" t="s">
        <v>6742</v>
      </c>
      <c r="F49" s="34" t="s">
        <v>6743</v>
      </c>
      <c r="G49" s="34" t="s">
        <v>6744</v>
      </c>
      <c r="H49" s="34" t="s">
        <v>6745</v>
      </c>
      <c r="I49" s="33" t="s">
        <v>84</v>
      </c>
      <c r="J49" s="34" t="s">
        <v>6746</v>
      </c>
      <c r="K49" s="35"/>
      <c r="L49" s="34" t="s">
        <v>6448</v>
      </c>
      <c r="M49" s="35" t="s">
        <v>29</v>
      </c>
      <c r="N49" s="34" t="s">
        <v>6747</v>
      </c>
      <c r="O49" s="35" t="s">
        <v>164</v>
      </c>
      <c r="P49" s="35" t="s">
        <v>1865</v>
      </c>
      <c r="Q49" s="2"/>
    </row>
    <row r="50" spans="1:17" ht="13.2" customHeight="1" x14ac:dyDescent="0.25">
      <c r="A50" s="33">
        <v>48</v>
      </c>
      <c r="B50" s="34" t="s">
        <v>6748</v>
      </c>
      <c r="C50" s="35"/>
      <c r="D50" s="34" t="s">
        <v>6448</v>
      </c>
      <c r="E50" s="34" t="s">
        <v>6749</v>
      </c>
      <c r="F50" s="34" t="s">
        <v>6450</v>
      </c>
      <c r="G50" s="34" t="s">
        <v>6451</v>
      </c>
      <c r="H50" s="34" t="s">
        <v>6452</v>
      </c>
      <c r="I50" s="33" t="s">
        <v>84</v>
      </c>
      <c r="J50" s="34" t="s">
        <v>6750</v>
      </c>
      <c r="K50" s="35"/>
      <c r="L50" s="34" t="s">
        <v>6448</v>
      </c>
      <c r="M50" s="35" t="s">
        <v>29</v>
      </c>
      <c r="N50" s="34" t="s">
        <v>6751</v>
      </c>
      <c r="O50" s="35" t="s">
        <v>164</v>
      </c>
      <c r="P50" s="35" t="s">
        <v>2017</v>
      </c>
    </row>
    <row r="51" spans="1:17" ht="13.2" customHeight="1" x14ac:dyDescent="0.25">
      <c r="A51" s="33">
        <v>49</v>
      </c>
      <c r="B51" s="34" t="s">
        <v>6752</v>
      </c>
      <c r="C51" s="35"/>
      <c r="D51" s="34" t="s">
        <v>6448</v>
      </c>
      <c r="E51" s="34" t="s">
        <v>6452</v>
      </c>
      <c r="F51" s="34" t="s">
        <v>6453</v>
      </c>
      <c r="G51" s="34" t="s">
        <v>6454</v>
      </c>
      <c r="H51" s="34" t="s">
        <v>6689</v>
      </c>
      <c r="I51" s="33" t="s">
        <v>84</v>
      </c>
      <c r="J51" s="34" t="s">
        <v>6753</v>
      </c>
      <c r="K51" s="35"/>
      <c r="L51" s="34" t="s">
        <v>6448</v>
      </c>
      <c r="M51" s="35" t="s">
        <v>29</v>
      </c>
      <c r="N51" s="34" t="s">
        <v>6754</v>
      </c>
      <c r="O51" s="35" t="s">
        <v>164</v>
      </c>
      <c r="P51" s="35" t="s">
        <v>2017</v>
      </c>
    </row>
    <row r="52" spans="1:17" ht="13.2" customHeight="1" x14ac:dyDescent="0.25">
      <c r="A52" s="33">
        <v>50</v>
      </c>
      <c r="B52" s="34" t="s">
        <v>6755</v>
      </c>
      <c r="C52" s="35"/>
      <c r="D52" s="34" t="s">
        <v>6448</v>
      </c>
      <c r="E52" s="34" t="s">
        <v>6689</v>
      </c>
      <c r="F52" s="34" t="s">
        <v>6690</v>
      </c>
      <c r="G52" s="34" t="s">
        <v>6691</v>
      </c>
      <c r="H52" s="34" t="s">
        <v>6692</v>
      </c>
      <c r="I52" s="33" t="s">
        <v>84</v>
      </c>
      <c r="J52" s="34" t="s">
        <v>6756</v>
      </c>
      <c r="K52" s="35"/>
      <c r="L52" s="34" t="s">
        <v>6448</v>
      </c>
      <c r="M52" s="35" t="s">
        <v>29</v>
      </c>
      <c r="N52" s="34" t="s">
        <v>6757</v>
      </c>
      <c r="O52" s="35" t="s">
        <v>164</v>
      </c>
      <c r="P52" s="35" t="s">
        <v>2017</v>
      </c>
    </row>
    <row r="53" spans="1:17" ht="13.2" customHeight="1" x14ac:dyDescent="0.25">
      <c r="A53" s="33">
        <v>51</v>
      </c>
      <c r="B53" s="34" t="s">
        <v>6758</v>
      </c>
      <c r="C53" s="35"/>
      <c r="D53" s="34" t="s">
        <v>6759</v>
      </c>
      <c r="E53" s="34" t="s">
        <v>6760</v>
      </c>
      <c r="F53" s="34" t="s">
        <v>6761</v>
      </c>
      <c r="G53" s="34" t="s">
        <v>6762</v>
      </c>
      <c r="H53" s="34" t="s">
        <v>6763</v>
      </c>
      <c r="I53" s="33" t="s">
        <v>84</v>
      </c>
      <c r="J53" s="34" t="s">
        <v>6764</v>
      </c>
      <c r="K53" s="35"/>
      <c r="L53" s="34" t="s">
        <v>6448</v>
      </c>
      <c r="M53" s="35" t="s">
        <v>29</v>
      </c>
      <c r="N53" s="34" t="s">
        <v>6765</v>
      </c>
      <c r="O53" s="35" t="s">
        <v>164</v>
      </c>
      <c r="P53" s="35" t="s">
        <v>2109</v>
      </c>
      <c r="Q53" s="2"/>
    </row>
    <row r="54" spans="1:17" ht="13.2" customHeight="1" x14ac:dyDescent="0.25">
      <c r="A54" s="33">
        <v>52</v>
      </c>
      <c r="B54" s="34" t="s">
        <v>6766</v>
      </c>
      <c r="C54" s="35"/>
      <c r="D54" s="34" t="s">
        <v>6767</v>
      </c>
      <c r="E54" s="34" t="s">
        <v>6768</v>
      </c>
      <c r="F54" s="34" t="s">
        <v>6769</v>
      </c>
      <c r="G54" s="34" t="s">
        <v>6770</v>
      </c>
      <c r="H54" s="34" t="s">
        <v>6771</v>
      </c>
      <c r="I54" s="33" t="s">
        <v>84</v>
      </c>
      <c r="J54" s="34" t="s">
        <v>6772</v>
      </c>
      <c r="K54" s="35"/>
      <c r="L54" s="34" t="s">
        <v>6448</v>
      </c>
      <c r="M54" s="35" t="s">
        <v>29</v>
      </c>
      <c r="N54" s="34" t="s">
        <v>6773</v>
      </c>
      <c r="O54" s="35" t="s">
        <v>164</v>
      </c>
      <c r="P54" s="35" t="s">
        <v>2109</v>
      </c>
      <c r="Q54" s="2"/>
    </row>
    <row r="55" spans="1:17" ht="13.2" customHeight="1" x14ac:dyDescent="0.25">
      <c r="A55" s="33">
        <v>53</v>
      </c>
      <c r="B55" s="34" t="s">
        <v>6774</v>
      </c>
      <c r="C55" s="35"/>
      <c r="D55" s="34" t="s">
        <v>6775</v>
      </c>
      <c r="E55" s="34" t="s">
        <v>2981</v>
      </c>
      <c r="F55" s="34" t="s">
        <v>6776</v>
      </c>
      <c r="G55" s="34" t="s">
        <v>2983</v>
      </c>
      <c r="H55" s="34" t="s">
        <v>6777</v>
      </c>
      <c r="I55" s="33" t="s">
        <v>84</v>
      </c>
      <c r="J55" s="34" t="s">
        <v>6778</v>
      </c>
      <c r="K55" s="35"/>
      <c r="L55" s="34" t="s">
        <v>6448</v>
      </c>
      <c r="M55" s="35" t="s">
        <v>29</v>
      </c>
      <c r="N55" s="34" t="s">
        <v>6779</v>
      </c>
      <c r="O55" s="35" t="s">
        <v>164</v>
      </c>
      <c r="P55" s="35" t="s">
        <v>2109</v>
      </c>
      <c r="Q55" s="2"/>
    </row>
    <row r="56" spans="1:17" ht="13.2" customHeight="1" x14ac:dyDescent="0.25">
      <c r="A56" s="33">
        <v>54</v>
      </c>
      <c r="B56" s="34" t="s">
        <v>6780</v>
      </c>
      <c r="C56" s="35"/>
      <c r="D56" s="34" t="s">
        <v>6781</v>
      </c>
      <c r="E56" s="34" t="s">
        <v>6782</v>
      </c>
      <c r="F56" s="34" t="s">
        <v>6783</v>
      </c>
      <c r="G56" s="34" t="s">
        <v>6783</v>
      </c>
      <c r="H56" s="34" t="s">
        <v>6784</v>
      </c>
      <c r="I56" s="33" t="s">
        <v>84</v>
      </c>
      <c r="J56" s="34" t="s">
        <v>6785</v>
      </c>
      <c r="K56" s="35"/>
      <c r="L56" s="34" t="s">
        <v>6448</v>
      </c>
      <c r="M56" s="35" t="s">
        <v>29</v>
      </c>
      <c r="N56" s="34" t="s">
        <v>6786</v>
      </c>
      <c r="O56" s="35" t="s">
        <v>164</v>
      </c>
      <c r="P56" s="35" t="s">
        <v>2109</v>
      </c>
      <c r="Q56" s="2"/>
    </row>
    <row r="57" spans="1:17" ht="13.2" customHeight="1" x14ac:dyDescent="0.25">
      <c r="A57" s="33">
        <v>55</v>
      </c>
      <c r="B57" s="34" t="s">
        <v>6787</v>
      </c>
      <c r="C57" s="35"/>
      <c r="D57" s="34" t="s">
        <v>6448</v>
      </c>
      <c r="E57" s="34" t="s">
        <v>6450</v>
      </c>
      <c r="F57" s="34" t="s">
        <v>6451</v>
      </c>
      <c r="G57" s="34" t="s">
        <v>6452</v>
      </c>
      <c r="H57" s="34" t="s">
        <v>6453</v>
      </c>
      <c r="I57" s="33" t="s">
        <v>84</v>
      </c>
      <c r="J57" s="34" t="s">
        <v>6788</v>
      </c>
      <c r="K57" s="35"/>
      <c r="L57" s="34" t="s">
        <v>6448</v>
      </c>
      <c r="M57" s="35" t="s">
        <v>29</v>
      </c>
      <c r="N57" s="34" t="s">
        <v>2108</v>
      </c>
      <c r="O57" s="35" t="s">
        <v>164</v>
      </c>
      <c r="P57" s="35" t="s">
        <v>2109</v>
      </c>
    </row>
    <row r="58" spans="1:17" ht="13.2" customHeight="1" x14ac:dyDescent="0.25">
      <c r="A58" s="33">
        <v>56</v>
      </c>
      <c r="B58" s="34" t="s">
        <v>6789</v>
      </c>
      <c r="C58" s="35"/>
      <c r="D58" s="34" t="s">
        <v>6448</v>
      </c>
      <c r="E58" s="34" t="s">
        <v>6790</v>
      </c>
      <c r="F58" s="34" t="s">
        <v>6791</v>
      </c>
      <c r="G58" s="34" t="s">
        <v>6689</v>
      </c>
      <c r="H58" s="34" t="s">
        <v>6690</v>
      </c>
      <c r="I58" s="33" t="s">
        <v>84</v>
      </c>
      <c r="J58" s="34" t="s">
        <v>6792</v>
      </c>
      <c r="K58" s="35"/>
      <c r="L58" s="34" t="s">
        <v>6448</v>
      </c>
      <c r="M58" s="35" t="s">
        <v>29</v>
      </c>
      <c r="N58" s="34" t="s">
        <v>6793</v>
      </c>
      <c r="O58" s="35" t="s">
        <v>164</v>
      </c>
      <c r="P58" s="35" t="s">
        <v>2155</v>
      </c>
    </row>
    <row r="59" spans="1:17" ht="13.2" customHeight="1" x14ac:dyDescent="0.25">
      <c r="A59" s="33">
        <v>57</v>
      </c>
      <c r="B59" s="34" t="s">
        <v>6794</v>
      </c>
      <c r="C59" s="35"/>
      <c r="D59" s="34" t="s">
        <v>624</v>
      </c>
      <c r="E59" s="34" t="s">
        <v>6795</v>
      </c>
      <c r="F59" s="34" t="s">
        <v>6796</v>
      </c>
      <c r="G59" s="34" t="s">
        <v>6797</v>
      </c>
      <c r="H59" s="34" t="s">
        <v>6798</v>
      </c>
      <c r="I59" s="33" t="s">
        <v>84</v>
      </c>
      <c r="J59" s="34" t="s">
        <v>6799</v>
      </c>
      <c r="K59" s="35"/>
      <c r="L59" s="34" t="s">
        <v>6448</v>
      </c>
      <c r="M59" s="35" t="s">
        <v>29</v>
      </c>
      <c r="N59" s="34" t="s">
        <v>6800</v>
      </c>
      <c r="O59" s="35" t="s">
        <v>164</v>
      </c>
      <c r="P59" s="35" t="s">
        <v>2155</v>
      </c>
      <c r="Q59" s="2"/>
    </row>
    <row r="60" spans="1:17" ht="13.2" customHeight="1" x14ac:dyDescent="0.25">
      <c r="A60" s="33">
        <v>58</v>
      </c>
      <c r="B60" s="34" t="s">
        <v>6801</v>
      </c>
      <c r="C60" s="35"/>
      <c r="D60" s="34" t="s">
        <v>6802</v>
      </c>
      <c r="E60" s="34" t="s">
        <v>6803</v>
      </c>
      <c r="F60" s="34" t="s">
        <v>6804</v>
      </c>
      <c r="G60" s="34" t="s">
        <v>6805</v>
      </c>
      <c r="H60" s="34" t="s">
        <v>6806</v>
      </c>
      <c r="I60" s="33" t="s">
        <v>84</v>
      </c>
      <c r="J60" s="34" t="s">
        <v>6807</v>
      </c>
      <c r="K60" s="35"/>
      <c r="L60" s="34" t="s">
        <v>6448</v>
      </c>
      <c r="M60" s="35" t="s">
        <v>29</v>
      </c>
      <c r="N60" s="34" t="s">
        <v>6808</v>
      </c>
      <c r="O60" s="35" t="s">
        <v>164</v>
      </c>
      <c r="P60" s="35" t="s">
        <v>2206</v>
      </c>
    </row>
    <row r="61" spans="1:17" ht="13.2" customHeight="1" x14ac:dyDescent="0.25">
      <c r="A61" s="33">
        <v>59</v>
      </c>
      <c r="B61" s="34" t="s">
        <v>6809</v>
      </c>
      <c r="C61" s="35"/>
      <c r="D61" s="34" t="s">
        <v>6810</v>
      </c>
      <c r="E61" s="34" t="s">
        <v>6811</v>
      </c>
      <c r="F61" s="34" t="s">
        <v>6812</v>
      </c>
      <c r="G61" s="34" t="s">
        <v>6813</v>
      </c>
      <c r="H61" s="34" t="s">
        <v>6814</v>
      </c>
      <c r="I61" s="33" t="s">
        <v>84</v>
      </c>
      <c r="J61" s="34" t="s">
        <v>6815</v>
      </c>
      <c r="K61" s="35"/>
      <c r="L61" s="34" t="s">
        <v>6448</v>
      </c>
      <c r="M61" s="35" t="s">
        <v>29</v>
      </c>
      <c r="N61" s="34" t="s">
        <v>6816</v>
      </c>
      <c r="O61" s="35" t="s">
        <v>164</v>
      </c>
      <c r="P61" s="35" t="s">
        <v>2271</v>
      </c>
    </row>
    <row r="62" spans="1:17" ht="13.2" customHeight="1" x14ac:dyDescent="0.25">
      <c r="A62" s="33">
        <v>60</v>
      </c>
      <c r="B62" s="34" t="s">
        <v>6817</v>
      </c>
      <c r="C62" s="35"/>
      <c r="D62" s="34" t="s">
        <v>6818</v>
      </c>
      <c r="E62" s="34" t="s">
        <v>6819</v>
      </c>
      <c r="F62" s="34" t="s">
        <v>6820</v>
      </c>
      <c r="G62" s="34" t="s">
        <v>6821</v>
      </c>
      <c r="H62" s="34" t="s">
        <v>6822</v>
      </c>
      <c r="I62" s="33" t="s">
        <v>84</v>
      </c>
      <c r="J62" s="34" t="s">
        <v>6823</v>
      </c>
      <c r="K62" s="35"/>
      <c r="L62" s="34" t="s">
        <v>6448</v>
      </c>
      <c r="M62" s="35" t="s">
        <v>29</v>
      </c>
      <c r="N62" s="34" t="s">
        <v>6824</v>
      </c>
      <c r="O62" s="35" t="s">
        <v>164</v>
      </c>
      <c r="P62" s="35" t="s">
        <v>2271</v>
      </c>
    </row>
    <row r="63" spans="1:17" ht="13.2" customHeight="1" x14ac:dyDescent="0.25">
      <c r="A63" s="33">
        <v>61</v>
      </c>
      <c r="B63" s="34" t="s">
        <v>6825</v>
      </c>
      <c r="C63" s="35"/>
      <c r="D63" s="34" t="s">
        <v>904</v>
      </c>
      <c r="E63" s="34" t="s">
        <v>2106</v>
      </c>
      <c r="F63" s="34" t="s">
        <v>2224</v>
      </c>
      <c r="G63" s="34" t="s">
        <v>428</v>
      </c>
      <c r="H63" s="34" t="s">
        <v>2663</v>
      </c>
      <c r="I63" s="33" t="s">
        <v>84</v>
      </c>
      <c r="J63" s="34" t="s">
        <v>6826</v>
      </c>
      <c r="K63" s="35"/>
      <c r="L63" s="34" t="s">
        <v>6448</v>
      </c>
      <c r="M63" s="35" t="s">
        <v>29</v>
      </c>
      <c r="N63" s="34" t="s">
        <v>6827</v>
      </c>
      <c r="O63" s="35" t="s">
        <v>164</v>
      </c>
      <c r="P63" s="35" t="s">
        <v>2271</v>
      </c>
    </row>
    <row r="64" spans="1:17" ht="13.2" customHeight="1" x14ac:dyDescent="0.25">
      <c r="A64" s="33">
        <v>62</v>
      </c>
      <c r="B64" s="34" t="s">
        <v>6828</v>
      </c>
      <c r="C64" s="35"/>
      <c r="D64" s="34" t="s">
        <v>6829</v>
      </c>
      <c r="E64" s="34" t="s">
        <v>6830</v>
      </c>
      <c r="F64" s="34" t="s">
        <v>6831</v>
      </c>
      <c r="G64" s="34" t="s">
        <v>6832</v>
      </c>
      <c r="H64" s="34" t="s">
        <v>6833</v>
      </c>
      <c r="I64" s="33" t="s">
        <v>84</v>
      </c>
      <c r="J64" s="34" t="s">
        <v>6834</v>
      </c>
      <c r="K64" s="35"/>
      <c r="L64" s="34" t="s">
        <v>6448</v>
      </c>
      <c r="M64" s="35" t="s">
        <v>29</v>
      </c>
      <c r="N64" s="34" t="s">
        <v>6835</v>
      </c>
      <c r="O64" s="35" t="s">
        <v>164</v>
      </c>
      <c r="P64" s="35" t="s">
        <v>2271</v>
      </c>
    </row>
    <row r="65" spans="1:16" ht="13.2" customHeight="1" x14ac:dyDescent="0.25">
      <c r="A65" s="33">
        <v>63</v>
      </c>
      <c r="B65" s="34" t="s">
        <v>6836</v>
      </c>
      <c r="C65" s="35"/>
      <c r="D65" s="34" t="s">
        <v>6837</v>
      </c>
      <c r="E65" s="34" t="s">
        <v>6838</v>
      </c>
      <c r="F65" s="34" t="s">
        <v>6839</v>
      </c>
      <c r="G65" s="34" t="s">
        <v>6840</v>
      </c>
      <c r="H65" s="34" t="s">
        <v>6691</v>
      </c>
      <c r="I65" s="33" t="s">
        <v>84</v>
      </c>
      <c r="J65" s="34" t="s">
        <v>6841</v>
      </c>
      <c r="K65" s="35"/>
      <c r="L65" s="34" t="s">
        <v>6448</v>
      </c>
      <c r="M65" s="35" t="s">
        <v>29</v>
      </c>
      <c r="N65" s="34" t="s">
        <v>6842</v>
      </c>
      <c r="O65" s="35" t="s">
        <v>164</v>
      </c>
      <c r="P65" s="35" t="s">
        <v>2317</v>
      </c>
    </row>
    <row r="66" spans="1:16" ht="13.2" customHeight="1" x14ac:dyDescent="0.25">
      <c r="A66" s="33">
        <v>64</v>
      </c>
      <c r="B66" s="34" t="s">
        <v>6843</v>
      </c>
      <c r="C66" s="35"/>
      <c r="D66" s="34" t="s">
        <v>6844</v>
      </c>
      <c r="E66" s="34" t="s">
        <v>6845</v>
      </c>
      <c r="F66" s="34" t="s">
        <v>6846</v>
      </c>
      <c r="G66" s="34" t="s">
        <v>6847</v>
      </c>
      <c r="H66" s="34" t="s">
        <v>6848</v>
      </c>
      <c r="I66" s="33" t="s">
        <v>84</v>
      </c>
      <c r="J66" s="34" t="s">
        <v>6849</v>
      </c>
      <c r="K66" s="35"/>
      <c r="L66" s="34" t="s">
        <v>6448</v>
      </c>
      <c r="M66" s="35" t="s">
        <v>29</v>
      </c>
      <c r="N66" s="34" t="s">
        <v>6850</v>
      </c>
      <c r="O66" s="35" t="s">
        <v>164</v>
      </c>
      <c r="P66" s="35" t="s">
        <v>2514</v>
      </c>
    </row>
    <row r="67" spans="1:16" ht="13.2" customHeight="1" x14ac:dyDescent="0.25">
      <c r="A67" s="33">
        <v>65</v>
      </c>
      <c r="B67" s="34" t="s">
        <v>6851</v>
      </c>
      <c r="C67" s="35"/>
      <c r="D67" s="34" t="s">
        <v>6852</v>
      </c>
      <c r="E67" s="34" t="s">
        <v>4067</v>
      </c>
      <c r="F67" s="34" t="s">
        <v>4068</v>
      </c>
      <c r="G67" s="34" t="s">
        <v>6853</v>
      </c>
      <c r="H67" s="34" t="s">
        <v>6854</v>
      </c>
      <c r="I67" s="33" t="s">
        <v>84</v>
      </c>
      <c r="J67" s="34" t="s">
        <v>6855</v>
      </c>
      <c r="K67" s="35"/>
      <c r="L67" s="34" t="s">
        <v>6448</v>
      </c>
      <c r="M67" s="35" t="s">
        <v>29</v>
      </c>
      <c r="N67" s="34" t="s">
        <v>6856</v>
      </c>
      <c r="O67" s="35" t="s">
        <v>816</v>
      </c>
      <c r="P67" s="35" t="s">
        <v>2704</v>
      </c>
    </row>
    <row r="68" spans="1:16" ht="13.2" customHeight="1" x14ac:dyDescent="0.25">
      <c r="A68" s="33">
        <v>66</v>
      </c>
      <c r="B68" s="34" t="s">
        <v>6857</v>
      </c>
      <c r="C68" s="35"/>
      <c r="D68" s="34" t="s">
        <v>6452</v>
      </c>
      <c r="E68" s="34" t="s">
        <v>6453</v>
      </c>
      <c r="F68" s="34" t="s">
        <v>6454</v>
      </c>
      <c r="G68" s="34" t="s">
        <v>6689</v>
      </c>
      <c r="H68" s="34" t="s">
        <v>6690</v>
      </c>
      <c r="I68" s="33" t="s">
        <v>84</v>
      </c>
      <c r="J68" s="34" t="s">
        <v>6858</v>
      </c>
      <c r="K68" s="35"/>
      <c r="L68" s="34" t="s">
        <v>6448</v>
      </c>
      <c r="M68" s="35" t="s">
        <v>29</v>
      </c>
      <c r="N68" s="34" t="s">
        <v>6859</v>
      </c>
      <c r="O68" s="35" t="s">
        <v>164</v>
      </c>
      <c r="P68" s="35" t="s">
        <v>3561</v>
      </c>
    </row>
    <row r="69" spans="1:16" ht="13.2" customHeight="1" x14ac:dyDescent="0.25">
      <c r="A69" s="33">
        <v>67</v>
      </c>
      <c r="B69" s="34" t="s">
        <v>5032</v>
      </c>
      <c r="C69" s="35"/>
      <c r="D69" s="34" t="s">
        <v>6689</v>
      </c>
      <c r="E69" s="34" t="s">
        <v>6690</v>
      </c>
      <c r="F69" s="34" t="s">
        <v>6691</v>
      </c>
      <c r="G69" s="34" t="s">
        <v>6692</v>
      </c>
      <c r="H69" s="34" t="s">
        <v>6749</v>
      </c>
      <c r="I69" s="33" t="s">
        <v>84</v>
      </c>
      <c r="J69" s="34" t="s">
        <v>6860</v>
      </c>
      <c r="K69" s="35"/>
      <c r="L69" s="34" t="s">
        <v>6448</v>
      </c>
      <c r="M69" s="35" t="s">
        <v>29</v>
      </c>
      <c r="N69" s="34" t="s">
        <v>4992</v>
      </c>
      <c r="O69" s="35" t="s">
        <v>164</v>
      </c>
      <c r="P69" s="35" t="s">
        <v>2705</v>
      </c>
    </row>
    <row r="70" spans="1:16" ht="13.2" customHeight="1" x14ac:dyDescent="0.25">
      <c r="A70" s="33">
        <v>68</v>
      </c>
      <c r="B70" s="34" t="s">
        <v>6861</v>
      </c>
      <c r="C70" s="35"/>
      <c r="D70" s="34" t="s">
        <v>6692</v>
      </c>
      <c r="E70" s="34" t="s">
        <v>6749</v>
      </c>
      <c r="F70" s="34" t="s">
        <v>6450</v>
      </c>
      <c r="G70" s="34" t="s">
        <v>6451</v>
      </c>
      <c r="H70" s="34" t="s">
        <v>6452</v>
      </c>
      <c r="I70" s="33" t="s">
        <v>84</v>
      </c>
      <c r="J70" s="34" t="s">
        <v>6862</v>
      </c>
      <c r="K70" s="35"/>
      <c r="L70" s="34" t="s">
        <v>6448</v>
      </c>
      <c r="M70" s="35" t="s">
        <v>29</v>
      </c>
      <c r="N70" s="34" t="s">
        <v>4989</v>
      </c>
      <c r="O70" s="35" t="s">
        <v>164</v>
      </c>
      <c r="P70" s="35" t="s">
        <v>2705</v>
      </c>
    </row>
    <row r="71" spans="1:16" ht="13.2" customHeight="1" x14ac:dyDescent="0.25">
      <c r="A71" s="33">
        <v>69</v>
      </c>
      <c r="B71" s="34" t="s">
        <v>6863</v>
      </c>
      <c r="C71" s="35"/>
      <c r="D71" s="34" t="s">
        <v>6864</v>
      </c>
      <c r="E71" s="34" t="s">
        <v>6865</v>
      </c>
      <c r="F71" s="34" t="s">
        <v>6866</v>
      </c>
      <c r="G71" s="34" t="s">
        <v>6867</v>
      </c>
      <c r="H71" s="34" t="s">
        <v>6868</v>
      </c>
      <c r="I71" s="33" t="s">
        <v>84</v>
      </c>
      <c r="J71" s="34" t="s">
        <v>6869</v>
      </c>
      <c r="K71" s="35"/>
      <c r="L71" s="34" t="s">
        <v>6448</v>
      </c>
      <c r="M71" s="35" t="s">
        <v>29</v>
      </c>
      <c r="N71" s="34" t="s">
        <v>6870</v>
      </c>
      <c r="O71" s="35" t="s">
        <v>164</v>
      </c>
      <c r="P71" s="35" t="s">
        <v>2706</v>
      </c>
    </row>
    <row r="72" spans="1:16" ht="13.2" customHeight="1" x14ac:dyDescent="0.25">
      <c r="A72" s="33">
        <v>70</v>
      </c>
      <c r="B72" s="34" t="s">
        <v>6871</v>
      </c>
      <c r="C72" s="35"/>
      <c r="D72" s="34" t="s">
        <v>6454</v>
      </c>
      <c r="E72" s="34" t="s">
        <v>6689</v>
      </c>
      <c r="F72" s="34" t="s">
        <v>6690</v>
      </c>
      <c r="G72" s="34" t="s">
        <v>6691</v>
      </c>
      <c r="H72" s="34" t="s">
        <v>6692</v>
      </c>
      <c r="I72" s="33" t="s">
        <v>84</v>
      </c>
      <c r="J72" s="34" t="s">
        <v>6872</v>
      </c>
      <c r="K72" s="35"/>
      <c r="L72" s="34" t="s">
        <v>6448</v>
      </c>
      <c r="M72" s="35" t="s">
        <v>29</v>
      </c>
      <c r="N72" s="34" t="s">
        <v>6873</v>
      </c>
      <c r="O72" s="35" t="s">
        <v>164</v>
      </c>
      <c r="P72" s="35" t="s">
        <v>2706</v>
      </c>
    </row>
    <row r="73" spans="1:16" ht="13.2" customHeight="1" x14ac:dyDescent="0.25">
      <c r="A73" s="33">
        <v>71</v>
      </c>
      <c r="B73" s="34" t="s">
        <v>6874</v>
      </c>
      <c r="C73" s="35"/>
      <c r="D73" s="34" t="s">
        <v>6875</v>
      </c>
      <c r="E73" s="34" t="s">
        <v>6876</v>
      </c>
      <c r="F73" s="34" t="s">
        <v>6877</v>
      </c>
      <c r="G73" s="34" t="s">
        <v>6450</v>
      </c>
      <c r="H73" s="34" t="s">
        <v>6451</v>
      </c>
      <c r="I73" s="33" t="s">
        <v>84</v>
      </c>
      <c r="J73" s="34" t="s">
        <v>6878</v>
      </c>
      <c r="K73" s="35"/>
      <c r="L73" s="34" t="s">
        <v>6448</v>
      </c>
      <c r="M73" s="35" t="s">
        <v>29</v>
      </c>
      <c r="N73" s="34" t="s">
        <v>3621</v>
      </c>
      <c r="O73" s="35" t="s">
        <v>164</v>
      </c>
      <c r="P73" s="35" t="s">
        <v>2707</v>
      </c>
    </row>
    <row r="74" spans="1:16" ht="13.2" customHeight="1" x14ac:dyDescent="0.25">
      <c r="A74" s="33">
        <v>72</v>
      </c>
      <c r="B74" s="34" t="s">
        <v>6879</v>
      </c>
      <c r="C74" s="35"/>
      <c r="D74" s="34" t="s">
        <v>6450</v>
      </c>
      <c r="E74" s="34" t="s">
        <v>6451</v>
      </c>
      <c r="F74" s="34" t="s">
        <v>6452</v>
      </c>
      <c r="G74" s="34" t="s">
        <v>6453</v>
      </c>
      <c r="H74" s="34" t="s">
        <v>6454</v>
      </c>
      <c r="I74" s="33" t="s">
        <v>84</v>
      </c>
      <c r="J74" s="34" t="s">
        <v>6880</v>
      </c>
      <c r="K74" s="35"/>
      <c r="L74" s="34" t="s">
        <v>6448</v>
      </c>
      <c r="M74" s="35" t="s">
        <v>29</v>
      </c>
      <c r="N74" s="34" t="s">
        <v>6881</v>
      </c>
      <c r="O74" s="35" t="s">
        <v>164</v>
      </c>
      <c r="P74" s="35" t="s">
        <v>2707</v>
      </c>
    </row>
    <row r="75" spans="1:16" ht="13.2" customHeight="1" x14ac:dyDescent="0.25">
      <c r="A75" s="33">
        <v>73</v>
      </c>
      <c r="B75" s="34" t="s">
        <v>6882</v>
      </c>
      <c r="C75" s="35"/>
      <c r="D75" s="34" t="s">
        <v>6453</v>
      </c>
      <c r="E75" s="34" t="s">
        <v>6454</v>
      </c>
      <c r="F75" s="34" t="s">
        <v>6689</v>
      </c>
      <c r="G75" s="34" t="s">
        <v>6690</v>
      </c>
      <c r="H75" s="34" t="s">
        <v>6691</v>
      </c>
      <c r="I75" s="33" t="s">
        <v>84</v>
      </c>
      <c r="J75" s="34" t="s">
        <v>6883</v>
      </c>
      <c r="K75" s="35"/>
      <c r="L75" s="34" t="s">
        <v>6448</v>
      </c>
      <c r="M75" s="35" t="s">
        <v>29</v>
      </c>
      <c r="N75" s="34" t="s">
        <v>3681</v>
      </c>
      <c r="O75" s="35" t="s">
        <v>164</v>
      </c>
      <c r="P75" s="35" t="s">
        <v>2709</v>
      </c>
    </row>
    <row r="76" spans="1:16" ht="13.2" customHeight="1" x14ac:dyDescent="0.25">
      <c r="A76" s="33">
        <v>74</v>
      </c>
      <c r="B76" s="34" t="s">
        <v>6884</v>
      </c>
      <c r="C76" s="35"/>
      <c r="D76" s="34" t="s">
        <v>6690</v>
      </c>
      <c r="E76" s="34" t="s">
        <v>6691</v>
      </c>
      <c r="F76" s="34" t="s">
        <v>6692</v>
      </c>
      <c r="G76" s="34" t="s">
        <v>6749</v>
      </c>
      <c r="H76" s="34" t="s">
        <v>6450</v>
      </c>
      <c r="I76" s="33" t="s">
        <v>84</v>
      </c>
      <c r="J76" s="34" t="s">
        <v>6885</v>
      </c>
      <c r="K76" s="35"/>
      <c r="L76" s="34" t="s">
        <v>6448</v>
      </c>
      <c r="M76" s="35" t="s">
        <v>29</v>
      </c>
      <c r="N76" s="34" t="s">
        <v>3699</v>
      </c>
      <c r="O76" s="35" t="s">
        <v>164</v>
      </c>
      <c r="P76" s="35" t="s">
        <v>2709</v>
      </c>
    </row>
    <row r="77" spans="1:16" ht="13.2" customHeight="1" x14ac:dyDescent="0.25">
      <c r="A77" s="33">
        <v>75</v>
      </c>
      <c r="B77" s="34" t="s">
        <v>6886</v>
      </c>
      <c r="C77" s="35"/>
      <c r="D77" s="34" t="s">
        <v>6887</v>
      </c>
      <c r="E77" s="34" t="s">
        <v>6888</v>
      </c>
      <c r="F77" s="34" t="s">
        <v>6889</v>
      </c>
      <c r="G77" s="34" t="s">
        <v>6890</v>
      </c>
      <c r="H77" s="34" t="s">
        <v>6891</v>
      </c>
      <c r="I77" s="33" t="s">
        <v>84</v>
      </c>
      <c r="J77" s="34" t="s">
        <v>6892</v>
      </c>
      <c r="K77" s="35"/>
      <c r="L77" s="34" t="s">
        <v>6448</v>
      </c>
      <c r="M77" s="35" t="s">
        <v>29</v>
      </c>
      <c r="N77" s="34" t="s">
        <v>2590</v>
      </c>
      <c r="O77" s="35" t="s">
        <v>816</v>
      </c>
      <c r="P77" s="35" t="s">
        <v>2710</v>
      </c>
    </row>
    <row r="78" spans="1:16" ht="13.2" customHeight="1" x14ac:dyDescent="0.25">
      <c r="A78" s="33">
        <v>76</v>
      </c>
      <c r="B78" s="34" t="s">
        <v>6893</v>
      </c>
      <c r="C78" s="35"/>
      <c r="D78" s="34" t="s">
        <v>6894</v>
      </c>
      <c r="E78" s="34" t="s">
        <v>6895</v>
      </c>
      <c r="F78" s="34" t="s">
        <v>6896</v>
      </c>
      <c r="G78" s="34" t="s">
        <v>6897</v>
      </c>
      <c r="H78" s="34" t="s">
        <v>6898</v>
      </c>
      <c r="I78" s="33" t="s">
        <v>90</v>
      </c>
      <c r="J78" s="34" t="s">
        <v>6899</v>
      </c>
      <c r="K78" s="35"/>
      <c r="L78" s="34" t="s">
        <v>6448</v>
      </c>
      <c r="M78" s="35" t="s">
        <v>29</v>
      </c>
      <c r="N78" s="34" t="s">
        <v>6202</v>
      </c>
      <c r="O78" s="35" t="s">
        <v>816</v>
      </c>
      <c r="P78" s="35" t="s">
        <v>2710</v>
      </c>
    </row>
    <row r="79" spans="1:16" ht="13.2" customHeight="1" x14ac:dyDescent="0.25">
      <c r="A79" s="33">
        <v>77</v>
      </c>
      <c r="B79" s="34" t="s">
        <v>6900</v>
      </c>
      <c r="C79" s="35"/>
      <c r="D79" s="34" t="s">
        <v>6689</v>
      </c>
      <c r="E79" s="34" t="s">
        <v>6690</v>
      </c>
      <c r="F79" s="34" t="s">
        <v>6691</v>
      </c>
      <c r="G79" s="34" t="s">
        <v>6692</v>
      </c>
      <c r="H79" s="34" t="s">
        <v>6749</v>
      </c>
      <c r="I79" s="33" t="s">
        <v>84</v>
      </c>
      <c r="J79" s="34" t="s">
        <v>6901</v>
      </c>
      <c r="K79" s="35"/>
      <c r="L79" s="34" t="s">
        <v>6448</v>
      </c>
      <c r="M79" s="35" t="s">
        <v>29</v>
      </c>
      <c r="N79" s="34" t="s">
        <v>2655</v>
      </c>
      <c r="O79" s="35" t="s">
        <v>816</v>
      </c>
      <c r="P79" s="35" t="s">
        <v>2711</v>
      </c>
    </row>
    <row r="80" spans="1:16" ht="13.2" customHeight="1" x14ac:dyDescent="0.25">
      <c r="A80" s="33">
        <v>78</v>
      </c>
      <c r="B80" s="34" t="s">
        <v>6902</v>
      </c>
      <c r="C80" s="35"/>
      <c r="D80" s="34" t="s">
        <v>6692</v>
      </c>
      <c r="E80" s="34" t="s">
        <v>6749</v>
      </c>
      <c r="F80" s="34" t="s">
        <v>6450</v>
      </c>
      <c r="G80" s="34" t="s">
        <v>6451</v>
      </c>
      <c r="H80" s="34" t="s">
        <v>6452</v>
      </c>
      <c r="I80" s="33" t="s">
        <v>84</v>
      </c>
      <c r="J80" s="34" t="s">
        <v>6903</v>
      </c>
      <c r="K80" s="35"/>
      <c r="L80" s="34" t="s">
        <v>6448</v>
      </c>
      <c r="M80" s="35" t="s">
        <v>29</v>
      </c>
      <c r="N80" s="34" t="s">
        <v>3900</v>
      </c>
      <c r="O80" s="35" t="s">
        <v>816</v>
      </c>
      <c r="P80" s="35" t="s">
        <v>2711</v>
      </c>
    </row>
    <row r="81" spans="1:16" ht="13.2" customHeight="1" x14ac:dyDescent="0.25">
      <c r="A81" s="33">
        <v>79</v>
      </c>
      <c r="B81" s="34" t="s">
        <v>6904</v>
      </c>
      <c r="C81" s="35"/>
      <c r="D81" s="34" t="s">
        <v>6451</v>
      </c>
      <c r="E81" s="34" t="s">
        <v>6452</v>
      </c>
      <c r="F81" s="34" t="s">
        <v>6453</v>
      </c>
      <c r="G81" s="34" t="s">
        <v>6454</v>
      </c>
      <c r="H81" s="34" t="s">
        <v>6689</v>
      </c>
      <c r="I81" s="33" t="s">
        <v>84</v>
      </c>
      <c r="J81" s="34" t="s">
        <v>6905</v>
      </c>
      <c r="K81" s="35"/>
      <c r="L81" s="34" t="s">
        <v>6448</v>
      </c>
      <c r="M81" s="35" t="s">
        <v>29</v>
      </c>
      <c r="N81" s="34" t="s">
        <v>1669</v>
      </c>
      <c r="O81" s="35" t="s">
        <v>816</v>
      </c>
      <c r="P81" s="35" t="s">
        <v>2711</v>
      </c>
    </row>
    <row r="82" spans="1:16" ht="13.2" customHeight="1" x14ac:dyDescent="0.25">
      <c r="A82" s="33">
        <v>80</v>
      </c>
      <c r="B82" s="34" t="s">
        <v>6906</v>
      </c>
      <c r="C82" s="35"/>
      <c r="D82" s="34" t="s">
        <v>6454</v>
      </c>
      <c r="E82" s="34" t="s">
        <v>6689</v>
      </c>
      <c r="F82" s="34" t="s">
        <v>6690</v>
      </c>
      <c r="G82" s="34" t="s">
        <v>6691</v>
      </c>
      <c r="H82" s="34" t="s">
        <v>6692</v>
      </c>
      <c r="I82" s="33" t="s">
        <v>84</v>
      </c>
      <c r="J82" s="34" t="s">
        <v>6907</v>
      </c>
      <c r="K82" s="35"/>
      <c r="L82" s="34" t="s">
        <v>6448</v>
      </c>
      <c r="M82" s="35" t="s">
        <v>29</v>
      </c>
      <c r="N82" s="34" t="s">
        <v>3936</v>
      </c>
      <c r="O82" s="35" t="s">
        <v>816</v>
      </c>
      <c r="P82" s="35" t="s">
        <v>2711</v>
      </c>
    </row>
    <row r="83" spans="1:16" ht="13.2" customHeight="1" x14ac:dyDescent="0.25">
      <c r="A83" s="33">
        <v>81</v>
      </c>
      <c r="B83" s="34" t="s">
        <v>6908</v>
      </c>
      <c r="C83" s="35"/>
      <c r="D83" s="34" t="s">
        <v>6691</v>
      </c>
      <c r="E83" s="34" t="s">
        <v>6692</v>
      </c>
      <c r="F83" s="34" t="s">
        <v>6749</v>
      </c>
      <c r="G83" s="34" t="s">
        <v>6450</v>
      </c>
      <c r="H83" s="34" t="s">
        <v>6451</v>
      </c>
      <c r="I83" s="33" t="s">
        <v>84</v>
      </c>
      <c r="J83" s="34" t="s">
        <v>6909</v>
      </c>
      <c r="K83" s="35"/>
      <c r="L83" s="34" t="s">
        <v>6448</v>
      </c>
      <c r="M83" s="35" t="s">
        <v>29</v>
      </c>
      <c r="N83" s="34" t="s">
        <v>3887</v>
      </c>
      <c r="O83" s="35" t="s">
        <v>816</v>
      </c>
      <c r="P83" s="35" t="s">
        <v>2711</v>
      </c>
    </row>
    <row r="84" spans="1:16" ht="13.2" customHeight="1" x14ac:dyDescent="0.25">
      <c r="A84" s="33">
        <v>82</v>
      </c>
      <c r="B84" s="34" t="s">
        <v>6910</v>
      </c>
      <c r="C84" s="35"/>
      <c r="D84" s="34" t="s">
        <v>6450</v>
      </c>
      <c r="E84" s="34" t="s">
        <v>6451</v>
      </c>
      <c r="F84" s="34" t="s">
        <v>6452</v>
      </c>
      <c r="G84" s="34" t="s">
        <v>6453</v>
      </c>
      <c r="H84" s="34" t="s">
        <v>6454</v>
      </c>
      <c r="I84" s="33" t="s">
        <v>84</v>
      </c>
      <c r="J84" s="34" t="s">
        <v>6911</v>
      </c>
      <c r="K84" s="35"/>
      <c r="L84" s="34" t="s">
        <v>6448</v>
      </c>
      <c r="M84" s="35" t="s">
        <v>29</v>
      </c>
      <c r="N84" s="34" t="s">
        <v>3887</v>
      </c>
      <c r="O84" s="35" t="s">
        <v>816</v>
      </c>
      <c r="P84" s="35" t="s">
        <v>2711</v>
      </c>
    </row>
    <row r="85" spans="1:16" ht="13.2" customHeight="1" x14ac:dyDescent="0.25">
      <c r="A85" s="33">
        <v>83</v>
      </c>
      <c r="B85" s="34" t="s">
        <v>6912</v>
      </c>
      <c r="C85" s="35"/>
      <c r="D85" s="34" t="s">
        <v>6453</v>
      </c>
      <c r="E85" s="34" t="s">
        <v>6454</v>
      </c>
      <c r="F85" s="34" t="s">
        <v>6689</v>
      </c>
      <c r="G85" s="34" t="s">
        <v>6690</v>
      </c>
      <c r="H85" s="34" t="s">
        <v>6691</v>
      </c>
      <c r="I85" s="33" t="s">
        <v>84</v>
      </c>
      <c r="J85" s="34" t="s">
        <v>6913</v>
      </c>
      <c r="K85" s="35"/>
      <c r="L85" s="34" t="s">
        <v>6448</v>
      </c>
      <c r="M85" s="35" t="s">
        <v>29</v>
      </c>
      <c r="N85" s="34" t="s">
        <v>1669</v>
      </c>
      <c r="O85" s="35" t="s">
        <v>816</v>
      </c>
      <c r="P85" s="35" t="s">
        <v>2711</v>
      </c>
    </row>
    <row r="86" spans="1:16" ht="13.2" customHeight="1" x14ac:dyDescent="0.25">
      <c r="A86" s="33">
        <v>84</v>
      </c>
      <c r="B86" s="34" t="s">
        <v>6914</v>
      </c>
      <c r="C86" s="35"/>
      <c r="D86" s="34" t="s">
        <v>6690</v>
      </c>
      <c r="E86" s="34" t="s">
        <v>6691</v>
      </c>
      <c r="F86" s="34" t="s">
        <v>6692</v>
      </c>
      <c r="G86" s="34" t="s">
        <v>6749</v>
      </c>
      <c r="H86" s="34" t="s">
        <v>6450</v>
      </c>
      <c r="I86" s="33" t="s">
        <v>84</v>
      </c>
      <c r="J86" s="34" t="s">
        <v>6915</v>
      </c>
      <c r="K86" s="35"/>
      <c r="L86" s="34" t="s">
        <v>6448</v>
      </c>
      <c r="M86" s="35" t="s">
        <v>29</v>
      </c>
      <c r="N86" s="34" t="s">
        <v>2655</v>
      </c>
      <c r="O86" s="35" t="s">
        <v>816</v>
      </c>
      <c r="P86" s="35" t="s">
        <v>2711</v>
      </c>
    </row>
    <row r="87" spans="1:16" ht="13.2" customHeight="1" x14ac:dyDescent="0.25">
      <c r="A87" s="33">
        <v>85</v>
      </c>
      <c r="B87" s="34" t="s">
        <v>6916</v>
      </c>
      <c r="C87" s="35"/>
      <c r="D87" s="34" t="s">
        <v>6749</v>
      </c>
      <c r="E87" s="34" t="s">
        <v>6450</v>
      </c>
      <c r="F87" s="34" t="s">
        <v>6451</v>
      </c>
      <c r="G87" s="34" t="s">
        <v>6452</v>
      </c>
      <c r="H87" s="34" t="s">
        <v>6453</v>
      </c>
      <c r="I87" s="33" t="s">
        <v>84</v>
      </c>
      <c r="J87" s="34" t="s">
        <v>6917</v>
      </c>
      <c r="K87" s="35"/>
      <c r="L87" s="34" t="s">
        <v>6448</v>
      </c>
      <c r="M87" s="35" t="s">
        <v>29</v>
      </c>
      <c r="N87" s="34" t="s">
        <v>2655</v>
      </c>
      <c r="O87" s="35" t="s">
        <v>816</v>
      </c>
      <c r="P87" s="35" t="s">
        <v>2711</v>
      </c>
    </row>
    <row r="88" spans="1:16" ht="13.2" customHeight="1" x14ac:dyDescent="0.25">
      <c r="A88" s="33">
        <v>86</v>
      </c>
      <c r="B88" s="34" t="s">
        <v>6918</v>
      </c>
      <c r="C88" s="35"/>
      <c r="D88" s="34" t="s">
        <v>6452</v>
      </c>
      <c r="E88" s="34" t="s">
        <v>6453</v>
      </c>
      <c r="F88" s="34" t="s">
        <v>6454</v>
      </c>
      <c r="G88" s="34" t="s">
        <v>6689</v>
      </c>
      <c r="H88" s="34" t="s">
        <v>6690</v>
      </c>
      <c r="I88" s="33" t="s">
        <v>123</v>
      </c>
      <c r="J88" s="34" t="s">
        <v>6919</v>
      </c>
      <c r="K88" s="35"/>
      <c r="L88" s="34" t="s">
        <v>6448</v>
      </c>
      <c r="M88" s="35" t="s">
        <v>29</v>
      </c>
      <c r="N88" s="34" t="s">
        <v>1669</v>
      </c>
      <c r="O88" s="35" t="s">
        <v>816</v>
      </c>
      <c r="P88" s="35" t="s">
        <v>2711</v>
      </c>
    </row>
    <row r="89" spans="1:16" ht="13.2" customHeight="1" x14ac:dyDescent="0.25">
      <c r="A89" s="33">
        <v>87</v>
      </c>
      <c r="B89" s="34" t="s">
        <v>6920</v>
      </c>
      <c r="C89" s="35"/>
      <c r="D89" s="34" t="s">
        <v>6689</v>
      </c>
      <c r="E89" s="34" t="s">
        <v>6690</v>
      </c>
      <c r="F89" s="34" t="s">
        <v>6691</v>
      </c>
      <c r="G89" s="34" t="s">
        <v>6692</v>
      </c>
      <c r="H89" s="34" t="s">
        <v>6749</v>
      </c>
      <c r="I89" s="33" t="s">
        <v>84</v>
      </c>
      <c r="J89" s="34" t="s">
        <v>6921</v>
      </c>
      <c r="K89" s="35"/>
      <c r="L89" s="34" t="s">
        <v>6448</v>
      </c>
      <c r="M89" s="35" t="s">
        <v>29</v>
      </c>
      <c r="N89" s="34" t="s">
        <v>4030</v>
      </c>
      <c r="O89" s="35" t="s">
        <v>816</v>
      </c>
      <c r="P89" s="35" t="s">
        <v>2711</v>
      </c>
    </row>
    <row r="90" spans="1:16" ht="13.2" customHeight="1" x14ac:dyDescent="0.25">
      <c r="A90" s="33">
        <v>88</v>
      </c>
      <c r="B90" s="34" t="s">
        <v>6922</v>
      </c>
      <c r="C90" s="35"/>
      <c r="D90" s="34" t="s">
        <v>6692</v>
      </c>
      <c r="E90" s="34" t="s">
        <v>6749</v>
      </c>
      <c r="F90" s="34" t="s">
        <v>6450</v>
      </c>
      <c r="G90" s="34" t="s">
        <v>6451</v>
      </c>
      <c r="H90" s="34" t="s">
        <v>6452</v>
      </c>
      <c r="I90" s="33" t="s">
        <v>84</v>
      </c>
      <c r="J90" s="34" t="s">
        <v>6923</v>
      </c>
      <c r="K90" s="35"/>
      <c r="L90" s="34" t="s">
        <v>6448</v>
      </c>
      <c r="M90" s="35" t="s">
        <v>29</v>
      </c>
      <c r="N90" s="34" t="s">
        <v>3936</v>
      </c>
      <c r="O90" s="35" t="s">
        <v>816</v>
      </c>
      <c r="P90" s="35" t="s">
        <v>2711</v>
      </c>
    </row>
    <row r="91" spans="1:16" ht="13.2" customHeight="1" x14ac:dyDescent="0.25">
      <c r="A91" s="33">
        <v>89</v>
      </c>
      <c r="B91" s="34" t="s">
        <v>6924</v>
      </c>
      <c r="C91" s="35"/>
      <c r="D91" s="34" t="s">
        <v>6451</v>
      </c>
      <c r="E91" s="34" t="s">
        <v>6452</v>
      </c>
      <c r="F91" s="34" t="s">
        <v>6453</v>
      </c>
      <c r="G91" s="34" t="s">
        <v>6454</v>
      </c>
      <c r="H91" s="34" t="s">
        <v>6689</v>
      </c>
      <c r="I91" s="33" t="s">
        <v>84</v>
      </c>
      <c r="J91" s="34" t="s">
        <v>6925</v>
      </c>
      <c r="K91" s="35"/>
      <c r="L91" s="34" t="s">
        <v>6448</v>
      </c>
      <c r="M91" s="35" t="s">
        <v>29</v>
      </c>
      <c r="N91" s="34" t="s">
        <v>1669</v>
      </c>
      <c r="O91" s="35" t="s">
        <v>816</v>
      </c>
      <c r="P91" s="35" t="s">
        <v>2711</v>
      </c>
    </row>
    <row r="92" spans="1:16" ht="13.2" customHeight="1" x14ac:dyDescent="0.25">
      <c r="A92" s="33">
        <v>90</v>
      </c>
      <c r="B92" s="34" t="s">
        <v>6926</v>
      </c>
      <c r="C92" s="35"/>
      <c r="D92" s="34" t="s">
        <v>6927</v>
      </c>
      <c r="E92" s="34" t="s">
        <v>6928</v>
      </c>
      <c r="F92" s="34" t="s">
        <v>6929</v>
      </c>
      <c r="G92" s="34" t="s">
        <v>6930</v>
      </c>
      <c r="H92" s="34" t="s">
        <v>6931</v>
      </c>
      <c r="I92" s="33" t="s">
        <v>96</v>
      </c>
      <c r="J92" s="34" t="s">
        <v>6932</v>
      </c>
      <c r="K92" s="35"/>
      <c r="L92" s="34" t="s">
        <v>6448</v>
      </c>
      <c r="M92" s="35" t="s">
        <v>29</v>
      </c>
      <c r="N92" s="34" t="s">
        <v>6933</v>
      </c>
      <c r="O92" s="35" t="s">
        <v>816</v>
      </c>
      <c r="P92" s="35" t="s">
        <v>2711</v>
      </c>
    </row>
    <row r="93" spans="1:16" ht="13.2" customHeight="1" x14ac:dyDescent="0.25">
      <c r="A93" s="33">
        <v>91</v>
      </c>
      <c r="B93" s="34" t="s">
        <v>6934</v>
      </c>
      <c r="C93" s="35"/>
      <c r="D93" s="34" t="s">
        <v>1712</v>
      </c>
      <c r="E93" s="34" t="s">
        <v>6935</v>
      </c>
      <c r="F93" s="34" t="s">
        <v>6936</v>
      </c>
      <c r="G93" s="34" t="s">
        <v>6937</v>
      </c>
      <c r="H93" s="34" t="s">
        <v>6938</v>
      </c>
      <c r="I93" s="33" t="s">
        <v>96</v>
      </c>
      <c r="J93" s="34" t="s">
        <v>6939</v>
      </c>
      <c r="K93" s="35"/>
      <c r="L93" s="34" t="s">
        <v>6448</v>
      </c>
      <c r="M93" s="35" t="s">
        <v>29</v>
      </c>
      <c r="N93" s="34" t="s">
        <v>6940</v>
      </c>
      <c r="O93" s="35" t="s">
        <v>816</v>
      </c>
      <c r="P93" s="35" t="s">
        <v>2711</v>
      </c>
    </row>
    <row r="94" spans="1:16" ht="13.2" customHeight="1" x14ac:dyDescent="0.25">
      <c r="A94" s="33">
        <v>92</v>
      </c>
      <c r="B94" s="34" t="s">
        <v>6941</v>
      </c>
      <c r="C94" s="35"/>
      <c r="D94" s="34" t="s">
        <v>6450</v>
      </c>
      <c r="E94" s="34" t="s">
        <v>6451</v>
      </c>
      <c r="F94" s="34" t="s">
        <v>6452</v>
      </c>
      <c r="G94" s="34" t="s">
        <v>6453</v>
      </c>
      <c r="H94" s="34" t="s">
        <v>6454</v>
      </c>
      <c r="I94" s="33" t="s">
        <v>113</v>
      </c>
      <c r="J94" s="34" t="s">
        <v>6942</v>
      </c>
      <c r="K94" s="35"/>
      <c r="L94" s="34" t="s">
        <v>6448</v>
      </c>
      <c r="M94" s="35" t="s">
        <v>29</v>
      </c>
      <c r="N94" s="34" t="s">
        <v>2655</v>
      </c>
      <c r="O94" s="35" t="s">
        <v>816</v>
      </c>
      <c r="P94" s="35" t="s">
        <v>2711</v>
      </c>
    </row>
    <row r="95" spans="1:16" ht="13.2" customHeight="1" x14ac:dyDescent="0.25">
      <c r="A95" s="33">
        <v>93</v>
      </c>
      <c r="B95" s="34" t="s">
        <v>6943</v>
      </c>
      <c r="C95" s="35"/>
      <c r="D95" s="34" t="s">
        <v>6453</v>
      </c>
      <c r="E95" s="34" t="s">
        <v>6454</v>
      </c>
      <c r="F95" s="34" t="s">
        <v>6689</v>
      </c>
      <c r="G95" s="34" t="s">
        <v>6690</v>
      </c>
      <c r="H95" s="34" t="s">
        <v>6691</v>
      </c>
      <c r="I95" s="33" t="s">
        <v>84</v>
      </c>
      <c r="J95" s="34" t="s">
        <v>6944</v>
      </c>
      <c r="K95" s="35"/>
      <c r="L95" s="34" t="s">
        <v>6448</v>
      </c>
      <c r="M95" s="35" t="s">
        <v>29</v>
      </c>
      <c r="N95" s="34" t="s">
        <v>3900</v>
      </c>
      <c r="O95" s="35" t="s">
        <v>816</v>
      </c>
      <c r="P95" s="35" t="s">
        <v>2711</v>
      </c>
    </row>
    <row r="96" spans="1:16" ht="13.2" customHeight="1" x14ac:dyDescent="0.25">
      <c r="A96" s="33">
        <v>94</v>
      </c>
      <c r="B96" s="34" t="s">
        <v>6945</v>
      </c>
      <c r="C96" s="35"/>
      <c r="D96" s="34" t="s">
        <v>6690</v>
      </c>
      <c r="E96" s="34" t="s">
        <v>6691</v>
      </c>
      <c r="F96" s="34" t="s">
        <v>6692</v>
      </c>
      <c r="G96" s="34" t="s">
        <v>6749</v>
      </c>
      <c r="H96" s="34" t="s">
        <v>6450</v>
      </c>
      <c r="I96" s="33" t="s">
        <v>123</v>
      </c>
      <c r="J96" s="34" t="s">
        <v>6946</v>
      </c>
      <c r="K96" s="35"/>
      <c r="L96" s="34" t="s">
        <v>6448</v>
      </c>
      <c r="M96" s="35" t="s">
        <v>29</v>
      </c>
      <c r="N96" s="34" t="s">
        <v>1669</v>
      </c>
      <c r="O96" s="35" t="s">
        <v>816</v>
      </c>
      <c r="P96" s="35" t="s">
        <v>2711</v>
      </c>
    </row>
    <row r="97" spans="1:16" ht="13.2" customHeight="1" x14ac:dyDescent="0.25">
      <c r="A97" s="33">
        <v>95</v>
      </c>
      <c r="B97" s="34" t="s">
        <v>6947</v>
      </c>
      <c r="C97" s="35"/>
      <c r="D97" s="34" t="s">
        <v>6749</v>
      </c>
      <c r="E97" s="34" t="s">
        <v>6450</v>
      </c>
      <c r="F97" s="34" t="s">
        <v>6451</v>
      </c>
      <c r="G97" s="34" t="s">
        <v>6452</v>
      </c>
      <c r="H97" s="34" t="s">
        <v>6453</v>
      </c>
      <c r="I97" s="33" t="s">
        <v>84</v>
      </c>
      <c r="J97" s="34" t="s">
        <v>6948</v>
      </c>
      <c r="K97" s="35"/>
      <c r="L97" s="34" t="s">
        <v>6448</v>
      </c>
      <c r="M97" s="35" t="s">
        <v>29</v>
      </c>
      <c r="N97" s="34" t="s">
        <v>1669</v>
      </c>
      <c r="O97" s="35" t="s">
        <v>816</v>
      </c>
      <c r="P97" s="35" t="s">
        <v>2711</v>
      </c>
    </row>
    <row r="98" spans="1:16" ht="13.2" customHeight="1" x14ac:dyDescent="0.25">
      <c r="A98" s="33">
        <v>96</v>
      </c>
      <c r="B98" s="34" t="s">
        <v>6949</v>
      </c>
      <c r="C98" s="35"/>
      <c r="D98" s="34" t="s">
        <v>6452</v>
      </c>
      <c r="E98" s="34" t="s">
        <v>6453</v>
      </c>
      <c r="F98" s="34" t="s">
        <v>6454</v>
      </c>
      <c r="G98" s="34" t="s">
        <v>6689</v>
      </c>
      <c r="H98" s="34" t="s">
        <v>6690</v>
      </c>
      <c r="I98" s="33" t="s">
        <v>84</v>
      </c>
      <c r="J98" s="34" t="s">
        <v>6950</v>
      </c>
      <c r="K98" s="35"/>
      <c r="L98" s="34" t="s">
        <v>6448</v>
      </c>
      <c r="M98" s="35" t="s">
        <v>29</v>
      </c>
      <c r="N98" s="34" t="s">
        <v>3936</v>
      </c>
      <c r="O98" s="35" t="s">
        <v>816</v>
      </c>
      <c r="P98" s="35" t="s">
        <v>2711</v>
      </c>
    </row>
    <row r="99" spans="1:16" ht="13.2" customHeight="1" x14ac:dyDescent="0.25">
      <c r="A99" s="33">
        <v>97</v>
      </c>
      <c r="B99" s="34" t="s">
        <v>6951</v>
      </c>
      <c r="C99" s="35"/>
      <c r="D99" s="34" t="s">
        <v>6952</v>
      </c>
      <c r="E99" s="34" t="s">
        <v>6953</v>
      </c>
      <c r="F99" s="34" t="s">
        <v>6954</v>
      </c>
      <c r="G99" s="34" t="s">
        <v>6955</v>
      </c>
      <c r="H99" s="34" t="s">
        <v>6956</v>
      </c>
      <c r="I99" s="33" t="s">
        <v>96</v>
      </c>
      <c r="J99" s="34" t="s">
        <v>6957</v>
      </c>
      <c r="K99" s="35"/>
      <c r="L99" s="34" t="s">
        <v>6448</v>
      </c>
      <c r="M99" s="35" t="s">
        <v>29</v>
      </c>
      <c r="N99" s="34" t="s">
        <v>3887</v>
      </c>
      <c r="O99" s="35" t="s">
        <v>816</v>
      </c>
      <c r="P99" s="35" t="s">
        <v>2711</v>
      </c>
    </row>
    <row r="100" spans="1:16" ht="13.2" x14ac:dyDescent="0.25">
      <c r="A100">
        <v>98</v>
      </c>
      <c r="B100" t="s">
        <v>6958</v>
      </c>
      <c r="D100" t="s">
        <v>6959</v>
      </c>
      <c r="E100" t="s">
        <v>6960</v>
      </c>
      <c r="F100" t="s">
        <v>6961</v>
      </c>
      <c r="G100" t="s">
        <v>6962</v>
      </c>
      <c r="H100" t="s">
        <v>6963</v>
      </c>
      <c r="I100" t="s">
        <v>84</v>
      </c>
      <c r="J100" t="s">
        <v>6964</v>
      </c>
      <c r="L100" t="s">
        <v>1645</v>
      </c>
      <c r="M100" t="s">
        <v>29</v>
      </c>
      <c r="N100" t="s">
        <v>6134</v>
      </c>
    </row>
    <row r="101" spans="1:16" ht="13.2" x14ac:dyDescent="0.25">
      <c r="A101">
        <v>99</v>
      </c>
      <c r="B101" t="s">
        <v>6965</v>
      </c>
      <c r="D101" t="s">
        <v>6444</v>
      </c>
      <c r="E101" t="s">
        <v>6966</v>
      </c>
      <c r="F101" t="s">
        <v>6443</v>
      </c>
      <c r="G101" t="s">
        <v>6442</v>
      </c>
      <c r="H101" t="s">
        <v>6446</v>
      </c>
      <c r="I101" t="s">
        <v>84</v>
      </c>
      <c r="J101" t="s">
        <v>6967</v>
      </c>
      <c r="L101" t="s">
        <v>1645</v>
      </c>
      <c r="M101" t="s">
        <v>29</v>
      </c>
      <c r="N101" t="s">
        <v>6968</v>
      </c>
    </row>
    <row r="102" spans="1:16" ht="13.2" x14ac:dyDescent="0.25">
      <c r="A102">
        <v>100</v>
      </c>
      <c r="B102" t="s">
        <v>6969</v>
      </c>
      <c r="D102" t="s">
        <v>6970</v>
      </c>
      <c r="E102" t="s">
        <v>6971</v>
      </c>
      <c r="F102" t="s">
        <v>6448</v>
      </c>
      <c r="G102" t="s">
        <v>6972</v>
      </c>
      <c r="H102" t="s">
        <v>1889</v>
      </c>
      <c r="I102" t="s">
        <v>84</v>
      </c>
      <c r="J102" t="s">
        <v>6973</v>
      </c>
      <c r="L102" t="s">
        <v>1645</v>
      </c>
      <c r="M102" t="s">
        <v>29</v>
      </c>
      <c r="N102" t="s">
        <v>6974</v>
      </c>
    </row>
    <row r="103" spans="1:16" ht="13.2" x14ac:dyDescent="0.25">
      <c r="A103">
        <v>101</v>
      </c>
      <c r="B103" t="s">
        <v>6975</v>
      </c>
      <c r="D103" t="s">
        <v>6976</v>
      </c>
      <c r="E103" t="s">
        <v>6977</v>
      </c>
      <c r="F103" t="s">
        <v>6978</v>
      </c>
      <c r="G103" t="s">
        <v>6979</v>
      </c>
      <c r="H103" t="s">
        <v>6980</v>
      </c>
      <c r="I103" t="s">
        <v>96</v>
      </c>
      <c r="J103" t="s">
        <v>6981</v>
      </c>
      <c r="L103" t="s">
        <v>1645</v>
      </c>
      <c r="M103" t="s">
        <v>29</v>
      </c>
      <c r="N103" t="s">
        <v>6982</v>
      </c>
    </row>
    <row r="104" spans="1:16" ht="13.2" x14ac:dyDescent="0.25">
      <c r="A104">
        <v>102</v>
      </c>
      <c r="B104" t="s">
        <v>6983</v>
      </c>
      <c r="D104" t="s">
        <v>6984</v>
      </c>
      <c r="E104" t="s">
        <v>6985</v>
      </c>
      <c r="F104" t="s">
        <v>6986</v>
      </c>
      <c r="G104" t="s">
        <v>6987</v>
      </c>
      <c r="H104" t="s">
        <v>2261</v>
      </c>
      <c r="I104" t="s">
        <v>96</v>
      </c>
      <c r="J104" t="s">
        <v>6988</v>
      </c>
      <c r="L104" t="s">
        <v>1645</v>
      </c>
      <c r="M104" t="s">
        <v>29</v>
      </c>
      <c r="N104" t="s">
        <v>1677</v>
      </c>
    </row>
    <row r="105" spans="1:16" ht="13.2" x14ac:dyDescent="0.25">
      <c r="A105">
        <v>103</v>
      </c>
      <c r="B105" t="s">
        <v>6989</v>
      </c>
      <c r="D105" t="s">
        <v>6990</v>
      </c>
      <c r="E105" t="s">
        <v>6991</v>
      </c>
      <c r="F105" t="s">
        <v>2480</v>
      </c>
      <c r="G105" t="s">
        <v>2097</v>
      </c>
      <c r="H105" t="s">
        <v>6992</v>
      </c>
      <c r="I105" t="s">
        <v>96</v>
      </c>
      <c r="J105" t="s">
        <v>6993</v>
      </c>
      <c r="L105" t="s">
        <v>1645</v>
      </c>
      <c r="M105" t="s">
        <v>29</v>
      </c>
      <c r="N105" t="s">
        <v>6994</v>
      </c>
    </row>
  </sheetData>
  <mergeCells count="1">
    <mergeCell ref="A1:F1"/>
  </mergeCells>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Q121"/>
  <sheetViews>
    <sheetView workbookViewId="0">
      <pane ySplit="2" topLeftCell="A108" activePane="bottomLeft" state="frozen"/>
      <selection pane="bottomLeft" activeCell="A3" sqref="A3:P121"/>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33">
        <v>1</v>
      </c>
      <c r="B3" s="34" t="s">
        <v>6995</v>
      </c>
      <c r="C3" s="35"/>
      <c r="D3" s="34" t="s">
        <v>6996</v>
      </c>
      <c r="E3" s="34" t="s">
        <v>6997</v>
      </c>
      <c r="F3" s="34" t="s">
        <v>6998</v>
      </c>
      <c r="G3" s="34" t="s">
        <v>6999</v>
      </c>
      <c r="H3" s="34" t="s">
        <v>7000</v>
      </c>
      <c r="I3" s="33" t="s">
        <v>84</v>
      </c>
      <c r="J3" s="34" t="s">
        <v>7001</v>
      </c>
      <c r="K3" s="35"/>
      <c r="L3" s="34" t="s">
        <v>7002</v>
      </c>
      <c r="M3" s="35" t="s">
        <v>29</v>
      </c>
      <c r="N3" s="34" t="s">
        <v>7003</v>
      </c>
      <c r="O3" s="35" t="s">
        <v>816</v>
      </c>
      <c r="P3" s="35" t="s">
        <v>669</v>
      </c>
    </row>
    <row r="4" spans="1:16" ht="13.2" customHeight="1" x14ac:dyDescent="0.25">
      <c r="A4" s="33">
        <v>2</v>
      </c>
      <c r="B4" s="34" t="s">
        <v>7004</v>
      </c>
      <c r="C4" s="35"/>
      <c r="D4" s="34" t="s">
        <v>7005</v>
      </c>
      <c r="E4" s="34" t="s">
        <v>7006</v>
      </c>
      <c r="F4" s="34" t="s">
        <v>7007</v>
      </c>
      <c r="G4" s="34" t="s">
        <v>7008</v>
      </c>
      <c r="H4" s="34" t="s">
        <v>7009</v>
      </c>
      <c r="I4" s="33" t="s">
        <v>84</v>
      </c>
      <c r="J4" s="34" t="s">
        <v>7010</v>
      </c>
      <c r="K4" s="35"/>
      <c r="L4" s="34" t="s">
        <v>7002</v>
      </c>
      <c r="M4" s="35" t="s">
        <v>29</v>
      </c>
      <c r="N4" s="34" t="s">
        <v>1692</v>
      </c>
      <c r="O4" s="35" t="s">
        <v>816</v>
      </c>
      <c r="P4" s="35" t="s">
        <v>669</v>
      </c>
    </row>
    <row r="5" spans="1:16" ht="13.2" customHeight="1" x14ac:dyDescent="0.25">
      <c r="A5" s="33">
        <v>3</v>
      </c>
      <c r="B5" s="34" t="s">
        <v>7011</v>
      </c>
      <c r="C5" s="35"/>
      <c r="D5" s="34" t="s">
        <v>7012</v>
      </c>
      <c r="E5" s="34" t="s">
        <v>7013</v>
      </c>
      <c r="F5" s="34" t="s">
        <v>7014</v>
      </c>
      <c r="G5" s="34" t="s">
        <v>3359</v>
      </c>
      <c r="H5" s="34" t="s">
        <v>7015</v>
      </c>
      <c r="I5" s="33" t="s">
        <v>113</v>
      </c>
      <c r="J5" s="34" t="s">
        <v>7016</v>
      </c>
      <c r="K5" s="35"/>
      <c r="L5" s="34" t="s">
        <v>7002</v>
      </c>
      <c r="M5" s="35" t="s">
        <v>29</v>
      </c>
      <c r="N5" s="34" t="s">
        <v>5240</v>
      </c>
      <c r="O5" s="35" t="s">
        <v>816</v>
      </c>
      <c r="P5" s="35" t="s">
        <v>669</v>
      </c>
    </row>
    <row r="6" spans="1:16" ht="13.2" customHeight="1" x14ac:dyDescent="0.25">
      <c r="A6" s="33">
        <v>4</v>
      </c>
      <c r="B6" s="34" t="s">
        <v>7017</v>
      </c>
      <c r="C6" s="35"/>
      <c r="D6" s="34" t="s">
        <v>7018</v>
      </c>
      <c r="E6" s="34" t="s">
        <v>7019</v>
      </c>
      <c r="F6" s="34" t="s">
        <v>7020</v>
      </c>
      <c r="G6" s="34" t="s">
        <v>7021</v>
      </c>
      <c r="H6" s="34" t="s">
        <v>7022</v>
      </c>
      <c r="I6" s="33" t="s">
        <v>113</v>
      </c>
      <c r="J6" s="34" t="s">
        <v>7023</v>
      </c>
      <c r="K6" s="35"/>
      <c r="L6" s="34" t="s">
        <v>7002</v>
      </c>
      <c r="M6" s="35" t="s">
        <v>29</v>
      </c>
      <c r="N6" s="34" t="s">
        <v>6471</v>
      </c>
      <c r="O6" s="35" t="s">
        <v>816</v>
      </c>
      <c r="P6" s="35" t="s">
        <v>669</v>
      </c>
    </row>
    <row r="7" spans="1:16" ht="13.2" customHeight="1" x14ac:dyDescent="0.25">
      <c r="A7" s="33">
        <v>5</v>
      </c>
      <c r="B7" s="34" t="s">
        <v>7024</v>
      </c>
      <c r="C7" s="35"/>
      <c r="D7" s="34" t="s">
        <v>7025</v>
      </c>
      <c r="E7" s="34" t="s">
        <v>7026</v>
      </c>
      <c r="F7" s="34" t="s">
        <v>7027</v>
      </c>
      <c r="G7" s="34" t="s">
        <v>7028</v>
      </c>
      <c r="H7" s="34" t="s">
        <v>7029</v>
      </c>
      <c r="I7" s="33" t="s">
        <v>90</v>
      </c>
      <c r="J7" s="34" t="s">
        <v>7030</v>
      </c>
      <c r="K7" s="35"/>
      <c r="L7" s="34" t="s">
        <v>7002</v>
      </c>
      <c r="M7" s="35" t="s">
        <v>29</v>
      </c>
      <c r="N7" s="34" t="s">
        <v>5255</v>
      </c>
      <c r="O7" s="35" t="s">
        <v>816</v>
      </c>
      <c r="P7" s="35" t="s">
        <v>669</v>
      </c>
    </row>
    <row r="8" spans="1:16" ht="13.2" customHeight="1" x14ac:dyDescent="0.25">
      <c r="A8" s="33">
        <v>6</v>
      </c>
      <c r="B8" s="34" t="s">
        <v>7031</v>
      </c>
      <c r="C8" s="35"/>
      <c r="D8" s="34" t="s">
        <v>7032</v>
      </c>
      <c r="E8" s="34" t="s">
        <v>7033</v>
      </c>
      <c r="F8" s="34" t="s">
        <v>7034</v>
      </c>
      <c r="G8" s="34" t="s">
        <v>7035</v>
      </c>
      <c r="H8" s="34" t="s">
        <v>7036</v>
      </c>
      <c r="I8" s="33" t="s">
        <v>84</v>
      </c>
      <c r="J8" s="34" t="s">
        <v>7037</v>
      </c>
      <c r="K8" s="35"/>
      <c r="L8" s="34" t="s">
        <v>7038</v>
      </c>
      <c r="M8" s="35" t="s">
        <v>29</v>
      </c>
      <c r="N8" s="34" t="s">
        <v>2759</v>
      </c>
      <c r="O8" s="35" t="s">
        <v>816</v>
      </c>
      <c r="P8" s="35" t="s">
        <v>669</v>
      </c>
    </row>
    <row r="9" spans="1:16" ht="13.2" customHeight="1" x14ac:dyDescent="0.25">
      <c r="A9" s="33">
        <v>7</v>
      </c>
      <c r="B9" s="34" t="s">
        <v>7039</v>
      </c>
      <c r="C9" s="35"/>
      <c r="D9" s="34" t="s">
        <v>7040</v>
      </c>
      <c r="E9" s="34" t="s">
        <v>7041</v>
      </c>
      <c r="F9" s="34" t="s">
        <v>7042</v>
      </c>
      <c r="G9" s="34" t="s">
        <v>7043</v>
      </c>
      <c r="H9" s="34" t="s">
        <v>7044</v>
      </c>
      <c r="I9" s="33" t="s">
        <v>123</v>
      </c>
      <c r="J9" s="34" t="s">
        <v>7045</v>
      </c>
      <c r="K9" s="35"/>
      <c r="L9" s="34" t="s">
        <v>7002</v>
      </c>
      <c r="M9" s="35" t="s">
        <v>29</v>
      </c>
      <c r="N9" s="34" t="s">
        <v>7046</v>
      </c>
      <c r="O9" s="35" t="s">
        <v>816</v>
      </c>
      <c r="P9" s="35" t="s">
        <v>669</v>
      </c>
    </row>
    <row r="10" spans="1:16" ht="13.2" customHeight="1" x14ac:dyDescent="0.25">
      <c r="A10" s="33">
        <v>8</v>
      </c>
      <c r="B10" s="34" t="s">
        <v>7047</v>
      </c>
      <c r="C10" s="35"/>
      <c r="D10" s="34" t="s">
        <v>7048</v>
      </c>
      <c r="E10" s="34" t="s">
        <v>7049</v>
      </c>
      <c r="F10" s="34" t="s">
        <v>7050</v>
      </c>
      <c r="G10" s="34" t="s">
        <v>7051</v>
      </c>
      <c r="H10" s="34" t="s">
        <v>7052</v>
      </c>
      <c r="I10" s="33" t="s">
        <v>96</v>
      </c>
      <c r="J10" s="34" t="s">
        <v>7053</v>
      </c>
      <c r="K10" s="35"/>
      <c r="L10" s="34" t="s">
        <v>7002</v>
      </c>
      <c r="M10" s="35" t="s">
        <v>29</v>
      </c>
      <c r="N10" s="34" t="s">
        <v>715</v>
      </c>
      <c r="O10" s="35" t="s">
        <v>816</v>
      </c>
      <c r="P10" s="35" t="s">
        <v>669</v>
      </c>
    </row>
    <row r="11" spans="1:16" ht="13.2" customHeight="1" x14ac:dyDescent="0.25">
      <c r="A11" s="33">
        <v>9</v>
      </c>
      <c r="B11" s="34" t="s">
        <v>7054</v>
      </c>
      <c r="C11" s="35"/>
      <c r="D11" s="34" t="s">
        <v>7055</v>
      </c>
      <c r="E11" s="34" t="s">
        <v>7056</v>
      </c>
      <c r="F11" s="34" t="s">
        <v>7048</v>
      </c>
      <c r="G11" s="34" t="s">
        <v>7057</v>
      </c>
      <c r="H11" s="34" t="s">
        <v>7058</v>
      </c>
      <c r="I11" s="33" t="s">
        <v>90</v>
      </c>
      <c r="J11" s="34" t="s">
        <v>7059</v>
      </c>
      <c r="K11" s="35"/>
      <c r="L11" s="34" t="s">
        <v>7060</v>
      </c>
      <c r="M11" s="35" t="s">
        <v>29</v>
      </c>
      <c r="N11" s="34" t="s">
        <v>723</v>
      </c>
      <c r="O11" s="35" t="s">
        <v>816</v>
      </c>
      <c r="P11" s="35" t="s">
        <v>669</v>
      </c>
    </row>
    <row r="12" spans="1:16" ht="13.2" customHeight="1" x14ac:dyDescent="0.25">
      <c r="A12" s="33">
        <v>10</v>
      </c>
      <c r="B12" s="34" t="s">
        <v>7061</v>
      </c>
      <c r="C12" s="35"/>
      <c r="D12" s="34" t="s">
        <v>7062</v>
      </c>
      <c r="E12" s="34" t="s">
        <v>7063</v>
      </c>
      <c r="F12" s="34" t="s">
        <v>7064</v>
      </c>
      <c r="G12" s="34" t="s">
        <v>7065</v>
      </c>
      <c r="H12" s="34" t="s">
        <v>7066</v>
      </c>
      <c r="I12" s="33" t="s">
        <v>113</v>
      </c>
      <c r="J12" s="34" t="s">
        <v>7067</v>
      </c>
      <c r="K12" s="35"/>
      <c r="L12" s="34" t="s">
        <v>7002</v>
      </c>
      <c r="M12" s="35" t="s">
        <v>29</v>
      </c>
      <c r="N12" s="34" t="s">
        <v>7068</v>
      </c>
      <c r="O12" s="35" t="s">
        <v>816</v>
      </c>
      <c r="P12" s="35" t="s">
        <v>669</v>
      </c>
    </row>
    <row r="13" spans="1:16" ht="13.2" customHeight="1" x14ac:dyDescent="0.25">
      <c r="A13" s="33">
        <v>11</v>
      </c>
      <c r="B13" s="34" t="s">
        <v>7069</v>
      </c>
      <c r="C13" s="35"/>
      <c r="D13" s="34" t="s">
        <v>7070</v>
      </c>
      <c r="E13" s="34" t="s">
        <v>7071</v>
      </c>
      <c r="F13" s="34" t="s">
        <v>7072</v>
      </c>
      <c r="G13" s="34" t="s">
        <v>7073</v>
      </c>
      <c r="H13" s="34" t="s">
        <v>7074</v>
      </c>
      <c r="I13" s="33" t="s">
        <v>84</v>
      </c>
      <c r="J13" s="34" t="s">
        <v>7075</v>
      </c>
      <c r="K13" s="35"/>
      <c r="L13" s="34" t="s">
        <v>7002</v>
      </c>
      <c r="M13" s="35" t="s">
        <v>29</v>
      </c>
      <c r="N13" s="34" t="s">
        <v>1755</v>
      </c>
      <c r="O13" s="35" t="s">
        <v>816</v>
      </c>
      <c r="P13" s="35" t="s">
        <v>669</v>
      </c>
    </row>
    <row r="14" spans="1:16" ht="13.2" customHeight="1" x14ac:dyDescent="0.25">
      <c r="A14" s="33">
        <v>12</v>
      </c>
      <c r="B14" s="34" t="s">
        <v>7076</v>
      </c>
      <c r="C14" s="35"/>
      <c r="D14" s="34" t="s">
        <v>7077</v>
      </c>
      <c r="E14" s="34" t="s">
        <v>7078</v>
      </c>
      <c r="F14" s="34" t="s">
        <v>7079</v>
      </c>
      <c r="G14" s="34" t="s">
        <v>7080</v>
      </c>
      <c r="H14" s="34" t="s">
        <v>7081</v>
      </c>
      <c r="I14" s="33" t="s">
        <v>96</v>
      </c>
      <c r="J14" s="34" t="s">
        <v>7082</v>
      </c>
      <c r="K14" s="35"/>
      <c r="L14" s="34" t="s">
        <v>7002</v>
      </c>
      <c r="M14" s="35" t="s">
        <v>29</v>
      </c>
      <c r="N14" s="34" t="s">
        <v>5308</v>
      </c>
      <c r="O14" s="35" t="s">
        <v>816</v>
      </c>
      <c r="P14" s="35" t="s">
        <v>669</v>
      </c>
    </row>
    <row r="15" spans="1:16" ht="13.2" customHeight="1" x14ac:dyDescent="0.25">
      <c r="A15" s="33">
        <v>13</v>
      </c>
      <c r="B15" s="34" t="s">
        <v>7083</v>
      </c>
      <c r="C15" s="35"/>
      <c r="D15" s="34" t="s">
        <v>7084</v>
      </c>
      <c r="E15" s="34" t="s">
        <v>7085</v>
      </c>
      <c r="F15" s="34" t="s">
        <v>7086</v>
      </c>
      <c r="G15" s="34" t="s">
        <v>7087</v>
      </c>
      <c r="H15" s="34" t="s">
        <v>7088</v>
      </c>
      <c r="I15" s="33" t="s">
        <v>84</v>
      </c>
      <c r="J15" s="34" t="s">
        <v>7089</v>
      </c>
      <c r="K15" s="35"/>
      <c r="L15" s="34" t="s">
        <v>7002</v>
      </c>
      <c r="M15" s="35" t="s">
        <v>29</v>
      </c>
      <c r="N15" s="34" t="s">
        <v>6530</v>
      </c>
      <c r="O15" s="35" t="s">
        <v>816</v>
      </c>
      <c r="P15" s="35" t="s">
        <v>669</v>
      </c>
    </row>
    <row r="16" spans="1:16" ht="13.2" customHeight="1" x14ac:dyDescent="0.25">
      <c r="A16" s="33">
        <v>14</v>
      </c>
      <c r="B16" s="34" t="s">
        <v>7090</v>
      </c>
      <c r="C16" s="35"/>
      <c r="D16" s="34" t="s">
        <v>7091</v>
      </c>
      <c r="E16" s="34" t="s">
        <v>7092</v>
      </c>
      <c r="F16" s="34" t="s">
        <v>7093</v>
      </c>
      <c r="G16" s="34" t="s">
        <v>7094</v>
      </c>
      <c r="H16" s="34" t="s">
        <v>7095</v>
      </c>
      <c r="I16" s="33" t="s">
        <v>123</v>
      </c>
      <c r="J16" s="34" t="s">
        <v>7096</v>
      </c>
      <c r="K16" s="35"/>
      <c r="L16" s="34" t="s">
        <v>7002</v>
      </c>
      <c r="M16" s="35" t="s">
        <v>29</v>
      </c>
      <c r="N16" s="34" t="s">
        <v>7097</v>
      </c>
      <c r="O16" s="35" t="s">
        <v>816</v>
      </c>
      <c r="P16" s="35" t="s">
        <v>669</v>
      </c>
    </row>
    <row r="17" spans="1:16" ht="13.2" customHeight="1" x14ac:dyDescent="0.25">
      <c r="A17" s="33">
        <v>15</v>
      </c>
      <c r="B17" s="34" t="s">
        <v>7098</v>
      </c>
      <c r="C17" s="35"/>
      <c r="D17" s="34" t="s">
        <v>7099</v>
      </c>
      <c r="E17" s="34" t="s">
        <v>7100</v>
      </c>
      <c r="F17" s="34" t="s">
        <v>7101</v>
      </c>
      <c r="G17" s="34" t="s">
        <v>7102</v>
      </c>
      <c r="H17" s="34" t="s">
        <v>7103</v>
      </c>
      <c r="I17" s="33" t="s">
        <v>96</v>
      </c>
      <c r="J17" s="34" t="s">
        <v>7104</v>
      </c>
      <c r="K17" s="35"/>
      <c r="L17" s="34" t="s">
        <v>7002</v>
      </c>
      <c r="M17" s="35" t="s">
        <v>29</v>
      </c>
      <c r="N17" s="34" t="s">
        <v>7105</v>
      </c>
      <c r="O17" s="35" t="s">
        <v>816</v>
      </c>
      <c r="P17" s="35" t="s">
        <v>669</v>
      </c>
    </row>
    <row r="18" spans="1:16" ht="13.2" customHeight="1" x14ac:dyDescent="0.25">
      <c r="A18" s="33">
        <v>16</v>
      </c>
      <c r="B18" s="34" t="s">
        <v>7106</v>
      </c>
      <c r="C18" s="35"/>
      <c r="D18" s="34" t="s">
        <v>7107</v>
      </c>
      <c r="E18" s="34" t="s">
        <v>7108</v>
      </c>
      <c r="F18" s="34" t="s">
        <v>7109</v>
      </c>
      <c r="G18" s="34" t="s">
        <v>7110</v>
      </c>
      <c r="H18" s="34" t="s">
        <v>7111</v>
      </c>
      <c r="I18" s="33" t="s">
        <v>96</v>
      </c>
      <c r="J18" s="34" t="s">
        <v>7112</v>
      </c>
      <c r="K18" s="35"/>
      <c r="L18" s="34" t="s">
        <v>7002</v>
      </c>
      <c r="M18" s="35" t="s">
        <v>29</v>
      </c>
      <c r="N18" s="34" t="s">
        <v>765</v>
      </c>
      <c r="O18" s="35" t="s">
        <v>816</v>
      </c>
      <c r="P18" s="35" t="s">
        <v>669</v>
      </c>
    </row>
    <row r="19" spans="1:16" ht="13.2" customHeight="1" x14ac:dyDescent="0.25">
      <c r="A19" s="33">
        <v>17</v>
      </c>
      <c r="B19" s="34" t="s">
        <v>7113</v>
      </c>
      <c r="C19" s="35"/>
      <c r="D19" s="34" t="s">
        <v>7114</v>
      </c>
      <c r="E19" s="34" t="s">
        <v>7115</v>
      </c>
      <c r="F19" s="34" t="s">
        <v>7116</v>
      </c>
      <c r="G19" s="34" t="s">
        <v>7117</v>
      </c>
      <c r="H19" s="34" t="s">
        <v>7118</v>
      </c>
      <c r="I19" s="33" t="s">
        <v>113</v>
      </c>
      <c r="J19" s="34" t="s">
        <v>7119</v>
      </c>
      <c r="K19" s="35"/>
      <c r="L19" s="34" t="s">
        <v>7002</v>
      </c>
      <c r="M19" s="35" t="s">
        <v>29</v>
      </c>
      <c r="N19" s="34" t="s">
        <v>7120</v>
      </c>
      <c r="O19" s="35" t="s">
        <v>816</v>
      </c>
      <c r="P19" s="35" t="s">
        <v>669</v>
      </c>
    </row>
    <row r="20" spans="1:16" ht="13.2" customHeight="1" x14ac:dyDescent="0.25">
      <c r="A20" s="33">
        <v>18</v>
      </c>
      <c r="B20" s="34" t="s">
        <v>7121</v>
      </c>
      <c r="C20" s="35"/>
      <c r="D20" s="34" t="s">
        <v>7048</v>
      </c>
      <c r="E20" s="34" t="s">
        <v>7050</v>
      </c>
      <c r="F20" s="34" t="s">
        <v>7122</v>
      </c>
      <c r="G20" s="34" t="s">
        <v>7049</v>
      </c>
      <c r="H20" s="34" t="s">
        <v>7123</v>
      </c>
      <c r="I20" s="33" t="s">
        <v>113</v>
      </c>
      <c r="J20" s="34" t="s">
        <v>7124</v>
      </c>
      <c r="K20" s="35"/>
      <c r="L20" s="34" t="s">
        <v>7002</v>
      </c>
      <c r="M20" s="35" t="s">
        <v>29</v>
      </c>
      <c r="N20" s="34" t="s">
        <v>5348</v>
      </c>
      <c r="O20" s="35" t="s">
        <v>816</v>
      </c>
      <c r="P20" s="35" t="s">
        <v>669</v>
      </c>
    </row>
    <row r="21" spans="1:16" ht="13.2" customHeight="1" x14ac:dyDescent="0.25">
      <c r="A21" s="33">
        <v>19</v>
      </c>
      <c r="B21" s="34" t="s">
        <v>7125</v>
      </c>
      <c r="C21" s="35"/>
      <c r="D21" s="34" t="s">
        <v>7049</v>
      </c>
      <c r="E21" s="34" t="s">
        <v>7056</v>
      </c>
      <c r="F21" s="34" t="s">
        <v>7126</v>
      </c>
      <c r="G21" s="34" t="s">
        <v>7127</v>
      </c>
      <c r="H21" s="34" t="s">
        <v>7128</v>
      </c>
      <c r="I21" s="33" t="s">
        <v>84</v>
      </c>
      <c r="J21" s="34" t="s">
        <v>7129</v>
      </c>
      <c r="K21" s="35"/>
      <c r="L21" s="34" t="s">
        <v>7002</v>
      </c>
      <c r="M21" s="35" t="s">
        <v>29</v>
      </c>
      <c r="N21" s="34" t="s">
        <v>7130</v>
      </c>
      <c r="O21" s="35" t="s">
        <v>816</v>
      </c>
      <c r="P21" s="35" t="s">
        <v>669</v>
      </c>
    </row>
    <row r="22" spans="1:16" ht="13.2" customHeight="1" x14ac:dyDescent="0.25">
      <c r="A22" s="33">
        <v>20</v>
      </c>
      <c r="B22" s="34" t="s">
        <v>7131</v>
      </c>
      <c r="C22" s="35"/>
      <c r="D22" s="34" t="s">
        <v>7056</v>
      </c>
      <c r="E22" s="34" t="s">
        <v>7126</v>
      </c>
      <c r="F22" s="34" t="s">
        <v>7132</v>
      </c>
      <c r="G22" s="34" t="s">
        <v>7133</v>
      </c>
      <c r="H22" s="34" t="s">
        <v>7128</v>
      </c>
      <c r="I22" s="33" t="s">
        <v>84</v>
      </c>
      <c r="J22" s="34" t="s">
        <v>7134</v>
      </c>
      <c r="K22" s="35"/>
      <c r="L22" s="34" t="s">
        <v>7002</v>
      </c>
      <c r="M22" s="35" t="s">
        <v>29</v>
      </c>
      <c r="N22" s="34" t="s">
        <v>2862</v>
      </c>
      <c r="O22" s="35" t="s">
        <v>816</v>
      </c>
      <c r="P22" s="35" t="s">
        <v>669</v>
      </c>
    </row>
    <row r="23" spans="1:16" ht="13.2" customHeight="1" x14ac:dyDescent="0.25">
      <c r="A23" s="33">
        <v>21</v>
      </c>
      <c r="B23" s="34" t="s">
        <v>7135</v>
      </c>
      <c r="C23" s="35"/>
      <c r="D23" s="34" t="s">
        <v>7136</v>
      </c>
      <c r="E23" s="34" t="s">
        <v>7055</v>
      </c>
      <c r="F23" s="34" t="s">
        <v>7050</v>
      </c>
      <c r="G23" s="34" t="s">
        <v>7056</v>
      </c>
      <c r="H23" s="34" t="s">
        <v>7049</v>
      </c>
      <c r="I23" s="33" t="s">
        <v>96</v>
      </c>
      <c r="J23" s="34" t="s">
        <v>7137</v>
      </c>
      <c r="K23" s="35"/>
      <c r="L23" s="34" t="s">
        <v>7002</v>
      </c>
      <c r="M23" s="35" t="s">
        <v>29</v>
      </c>
      <c r="N23" s="34" t="s">
        <v>793</v>
      </c>
      <c r="O23" s="35" t="s">
        <v>816</v>
      </c>
      <c r="P23" s="35" t="s">
        <v>669</v>
      </c>
    </row>
    <row r="24" spans="1:16" ht="13.2" customHeight="1" x14ac:dyDescent="0.25">
      <c r="A24" s="33">
        <v>22</v>
      </c>
      <c r="B24" s="34" t="s">
        <v>7138</v>
      </c>
      <c r="C24" s="35"/>
      <c r="D24" s="34" t="s">
        <v>7139</v>
      </c>
      <c r="E24" s="34" t="s">
        <v>7140</v>
      </c>
      <c r="F24" s="34" t="s">
        <v>7141</v>
      </c>
      <c r="G24" s="34" t="s">
        <v>7142</v>
      </c>
      <c r="H24" s="34" t="s">
        <v>7143</v>
      </c>
      <c r="I24" s="33" t="s">
        <v>84</v>
      </c>
      <c r="J24" s="34" t="s">
        <v>7144</v>
      </c>
      <c r="K24" s="35"/>
      <c r="L24" s="34" t="s">
        <v>7038</v>
      </c>
      <c r="M24" s="35" t="s">
        <v>29</v>
      </c>
      <c r="N24" s="34" t="s">
        <v>7145</v>
      </c>
      <c r="O24" s="35" t="s">
        <v>816</v>
      </c>
      <c r="P24" s="35" t="s">
        <v>669</v>
      </c>
    </row>
    <row r="25" spans="1:16" ht="13.2" customHeight="1" x14ac:dyDescent="0.25">
      <c r="A25" s="33">
        <v>23</v>
      </c>
      <c r="B25" s="34" t="s">
        <v>7146</v>
      </c>
      <c r="C25" s="35"/>
      <c r="D25" s="34" t="s">
        <v>7147</v>
      </c>
      <c r="E25" s="34" t="s">
        <v>7062</v>
      </c>
      <c r="F25" s="34" t="s">
        <v>7065</v>
      </c>
      <c r="G25" s="34" t="s">
        <v>7148</v>
      </c>
      <c r="H25" s="34" t="s">
        <v>7149</v>
      </c>
      <c r="I25" s="33" t="s">
        <v>96</v>
      </c>
      <c r="J25" s="34" t="s">
        <v>7150</v>
      </c>
      <c r="K25" s="35"/>
      <c r="L25" s="34" t="s">
        <v>7151</v>
      </c>
      <c r="M25" s="35" t="s">
        <v>29</v>
      </c>
      <c r="N25" s="34" t="s">
        <v>5383</v>
      </c>
      <c r="O25" s="35" t="s">
        <v>816</v>
      </c>
      <c r="P25" s="35" t="s">
        <v>669</v>
      </c>
    </row>
    <row r="26" spans="1:16" ht="13.2" customHeight="1" x14ac:dyDescent="0.25">
      <c r="A26" s="33">
        <v>24</v>
      </c>
      <c r="B26" s="34" t="s">
        <v>7152</v>
      </c>
      <c r="C26" s="35"/>
      <c r="D26" s="34" t="s">
        <v>7153</v>
      </c>
      <c r="E26" s="34" t="s">
        <v>7154</v>
      </c>
      <c r="F26" s="34" t="s">
        <v>7155</v>
      </c>
      <c r="G26" s="34" t="s">
        <v>7156</v>
      </c>
      <c r="H26" s="34" t="s">
        <v>7157</v>
      </c>
      <c r="I26" s="33" t="s">
        <v>123</v>
      </c>
      <c r="J26" s="34" t="s">
        <v>7158</v>
      </c>
      <c r="K26" s="35"/>
      <c r="L26" s="34" t="s">
        <v>7038</v>
      </c>
      <c r="M26" s="35" t="s">
        <v>29</v>
      </c>
      <c r="N26" s="34" t="s">
        <v>7159</v>
      </c>
      <c r="O26" s="35" t="s">
        <v>816</v>
      </c>
      <c r="P26" s="35" t="s">
        <v>669</v>
      </c>
    </row>
    <row r="27" spans="1:16" ht="13.2" customHeight="1" x14ac:dyDescent="0.25">
      <c r="A27" s="33">
        <v>25</v>
      </c>
      <c r="B27" s="34" t="s">
        <v>7160</v>
      </c>
      <c r="C27" s="35"/>
      <c r="D27" s="34" t="s">
        <v>7161</v>
      </c>
      <c r="E27" s="34" t="s">
        <v>7162</v>
      </c>
      <c r="F27" s="34" t="s">
        <v>7163</v>
      </c>
      <c r="G27" s="34" t="s">
        <v>7164</v>
      </c>
      <c r="H27" s="34" t="s">
        <v>7165</v>
      </c>
      <c r="I27" s="33" t="s">
        <v>84</v>
      </c>
      <c r="J27" s="34" t="s">
        <v>7166</v>
      </c>
      <c r="K27" s="35"/>
      <c r="L27" s="34" t="s">
        <v>7002</v>
      </c>
      <c r="M27" s="35" t="s">
        <v>29</v>
      </c>
      <c r="N27" s="34" t="s">
        <v>7167</v>
      </c>
      <c r="O27" s="35" t="s">
        <v>816</v>
      </c>
      <c r="P27" s="35" t="s">
        <v>669</v>
      </c>
    </row>
    <row r="28" spans="1:16" ht="13.2" customHeight="1" x14ac:dyDescent="0.25">
      <c r="A28" s="33">
        <v>26</v>
      </c>
      <c r="B28" s="34" t="s">
        <v>7168</v>
      </c>
      <c r="C28" s="35"/>
      <c r="D28" s="34" t="s">
        <v>7169</v>
      </c>
      <c r="E28" s="34" t="s">
        <v>7170</v>
      </c>
      <c r="F28" s="34" t="s">
        <v>7171</v>
      </c>
      <c r="G28" s="34" t="s">
        <v>7172</v>
      </c>
      <c r="H28" s="34" t="s">
        <v>7173</v>
      </c>
      <c r="I28" s="33" t="s">
        <v>96</v>
      </c>
      <c r="J28" s="34" t="s">
        <v>7174</v>
      </c>
      <c r="K28" s="35"/>
      <c r="L28" s="34" t="s">
        <v>7060</v>
      </c>
      <c r="M28" s="35" t="s">
        <v>29</v>
      </c>
      <c r="N28" s="34" t="s">
        <v>830</v>
      </c>
      <c r="O28" s="35" t="s">
        <v>816</v>
      </c>
      <c r="P28" s="35" t="s">
        <v>669</v>
      </c>
    </row>
    <row r="29" spans="1:16" ht="13.2" customHeight="1" x14ac:dyDescent="0.25">
      <c r="A29" s="33">
        <v>27</v>
      </c>
      <c r="B29" s="34" t="s">
        <v>7175</v>
      </c>
      <c r="C29" s="35"/>
      <c r="D29" s="34" t="s">
        <v>7062</v>
      </c>
      <c r="E29" s="34" t="s">
        <v>7064</v>
      </c>
      <c r="F29" s="34" t="s">
        <v>7065</v>
      </c>
      <c r="G29" s="34" t="s">
        <v>7066</v>
      </c>
      <c r="H29" s="34" t="s">
        <v>7063</v>
      </c>
      <c r="I29" s="33" t="s">
        <v>90</v>
      </c>
      <c r="J29" s="34" t="s">
        <v>7176</v>
      </c>
      <c r="K29" s="35"/>
      <c r="L29" s="34" t="s">
        <v>7002</v>
      </c>
      <c r="M29" s="35" t="s">
        <v>29</v>
      </c>
      <c r="N29" s="34" t="s">
        <v>7177</v>
      </c>
      <c r="O29" s="35" t="s">
        <v>816</v>
      </c>
      <c r="P29" s="35" t="s">
        <v>669</v>
      </c>
    </row>
    <row r="30" spans="1:16" ht="13.2" customHeight="1" x14ac:dyDescent="0.25">
      <c r="A30" s="33">
        <v>28</v>
      </c>
      <c r="B30" s="34" t="s">
        <v>7178</v>
      </c>
      <c r="C30" s="35"/>
      <c r="D30" s="34" t="s">
        <v>7179</v>
      </c>
      <c r="E30" s="34" t="s">
        <v>7180</v>
      </c>
      <c r="F30" s="34" t="s">
        <v>7181</v>
      </c>
      <c r="G30" s="34" t="s">
        <v>7182</v>
      </c>
      <c r="H30" s="34" t="s">
        <v>7183</v>
      </c>
      <c r="I30" s="33" t="s">
        <v>123</v>
      </c>
      <c r="J30" s="34" t="s">
        <v>7184</v>
      </c>
      <c r="K30" s="35"/>
      <c r="L30" s="34" t="s">
        <v>7038</v>
      </c>
      <c r="M30" s="35" t="s">
        <v>29</v>
      </c>
      <c r="N30" s="34" t="s">
        <v>6622</v>
      </c>
      <c r="O30" s="35" t="s">
        <v>816</v>
      </c>
      <c r="P30" s="35" t="s">
        <v>669</v>
      </c>
    </row>
    <row r="31" spans="1:16" ht="13.2" customHeight="1" x14ac:dyDescent="0.25">
      <c r="A31" s="33">
        <v>29</v>
      </c>
      <c r="B31" s="34" t="s">
        <v>7185</v>
      </c>
      <c r="C31" s="35"/>
      <c r="D31" s="34" t="s">
        <v>7186</v>
      </c>
      <c r="E31" s="34" t="s">
        <v>7187</v>
      </c>
      <c r="F31" s="34" t="s">
        <v>7188</v>
      </c>
      <c r="G31" s="34" t="s">
        <v>7189</v>
      </c>
      <c r="H31" s="34" t="s">
        <v>7190</v>
      </c>
      <c r="I31" s="33" t="s">
        <v>123</v>
      </c>
      <c r="J31" s="34" t="s">
        <v>7191</v>
      </c>
      <c r="K31" s="35"/>
      <c r="L31" s="34" t="s">
        <v>7151</v>
      </c>
      <c r="M31" s="35" t="s">
        <v>29</v>
      </c>
      <c r="N31" s="34" t="s">
        <v>849</v>
      </c>
      <c r="O31" s="35" t="s">
        <v>816</v>
      </c>
      <c r="P31" s="35" t="s">
        <v>669</v>
      </c>
    </row>
    <row r="32" spans="1:16" ht="13.2" customHeight="1" x14ac:dyDescent="0.25">
      <c r="A32" s="33">
        <v>30</v>
      </c>
      <c r="B32" s="34" t="s">
        <v>7192</v>
      </c>
      <c r="C32" s="35"/>
      <c r="D32" s="34" t="s">
        <v>7193</v>
      </c>
      <c r="E32" s="34" t="s">
        <v>7194</v>
      </c>
      <c r="F32" s="34" t="s">
        <v>2345</v>
      </c>
      <c r="G32" s="34" t="s">
        <v>7195</v>
      </c>
      <c r="H32" s="34" t="s">
        <v>7196</v>
      </c>
      <c r="I32" s="33" t="s">
        <v>84</v>
      </c>
      <c r="J32" s="34" t="s">
        <v>7197</v>
      </c>
      <c r="K32" s="35"/>
      <c r="L32" s="34" t="s">
        <v>7151</v>
      </c>
      <c r="M32" s="35" t="s">
        <v>29</v>
      </c>
      <c r="N32" s="34" t="s">
        <v>5433</v>
      </c>
      <c r="O32" s="35" t="s">
        <v>816</v>
      </c>
      <c r="P32" s="35" t="s">
        <v>669</v>
      </c>
    </row>
    <row r="33" spans="1:17" ht="13.2" customHeight="1" x14ac:dyDescent="0.25">
      <c r="A33" s="33">
        <v>31</v>
      </c>
      <c r="B33" s="34" t="s">
        <v>7198</v>
      </c>
      <c r="C33" s="35"/>
      <c r="D33" s="34" t="s">
        <v>7199</v>
      </c>
      <c r="E33" s="34" t="s">
        <v>7200</v>
      </c>
      <c r="F33" s="34" t="s">
        <v>330</v>
      </c>
      <c r="G33" s="34" t="s">
        <v>787</v>
      </c>
      <c r="H33" s="34" t="s">
        <v>7201</v>
      </c>
      <c r="I33" s="33" t="s">
        <v>84</v>
      </c>
      <c r="J33" s="34" t="s">
        <v>7202</v>
      </c>
      <c r="K33" s="35"/>
      <c r="L33" s="34" t="s">
        <v>7151</v>
      </c>
      <c r="M33" s="35" t="s">
        <v>29</v>
      </c>
      <c r="N33" s="34" t="s">
        <v>2947</v>
      </c>
      <c r="O33" s="35" t="s">
        <v>816</v>
      </c>
      <c r="P33" s="35" t="s">
        <v>669</v>
      </c>
    </row>
    <row r="34" spans="1:17" ht="13.2" customHeight="1" x14ac:dyDescent="0.25">
      <c r="A34" s="33">
        <v>32</v>
      </c>
      <c r="B34" s="34" t="s">
        <v>7203</v>
      </c>
      <c r="C34" s="35"/>
      <c r="D34" s="34" t="s">
        <v>7204</v>
      </c>
      <c r="E34" s="34" t="s">
        <v>7205</v>
      </c>
      <c r="F34" s="34" t="s">
        <v>7206</v>
      </c>
      <c r="G34" s="34" t="s">
        <v>7207</v>
      </c>
      <c r="H34" s="34" t="s">
        <v>7208</v>
      </c>
      <c r="I34" s="33" t="s">
        <v>90</v>
      </c>
      <c r="J34" s="34" t="s">
        <v>7209</v>
      </c>
      <c r="K34" s="35"/>
      <c r="L34" s="34" t="s">
        <v>7151</v>
      </c>
      <c r="M34" s="35" t="s">
        <v>29</v>
      </c>
      <c r="N34" s="34" t="s">
        <v>872</v>
      </c>
      <c r="O34" s="35" t="s">
        <v>816</v>
      </c>
      <c r="P34" s="35" t="s">
        <v>669</v>
      </c>
    </row>
    <row r="35" spans="1:17" ht="13.2" customHeight="1" x14ac:dyDescent="0.25">
      <c r="A35" s="33">
        <v>33</v>
      </c>
      <c r="B35" s="34" t="s">
        <v>7210</v>
      </c>
      <c r="C35" s="35"/>
      <c r="D35" s="34" t="s">
        <v>7211</v>
      </c>
      <c r="E35" s="34" t="s">
        <v>7212</v>
      </c>
      <c r="F35" s="34" t="s">
        <v>191</v>
      </c>
      <c r="G35" s="34" t="s">
        <v>7213</v>
      </c>
      <c r="H35" s="34" t="s">
        <v>827</v>
      </c>
      <c r="I35" s="33" t="s">
        <v>96</v>
      </c>
      <c r="J35" s="34" t="s">
        <v>7214</v>
      </c>
      <c r="K35" s="35"/>
      <c r="L35" s="34" t="s">
        <v>7038</v>
      </c>
      <c r="M35" s="35" t="s">
        <v>29</v>
      </c>
      <c r="N35" s="34" t="s">
        <v>7215</v>
      </c>
      <c r="O35" s="35" t="s">
        <v>816</v>
      </c>
      <c r="P35" s="35" t="s">
        <v>669</v>
      </c>
    </row>
    <row r="36" spans="1:17" ht="13.2" customHeight="1" x14ac:dyDescent="0.25">
      <c r="A36" s="33">
        <v>34</v>
      </c>
      <c r="B36" s="34" t="s">
        <v>7216</v>
      </c>
      <c r="C36" s="35"/>
      <c r="D36" s="34" t="s">
        <v>7217</v>
      </c>
      <c r="E36" s="34" t="s">
        <v>7218</v>
      </c>
      <c r="F36" s="34" t="s">
        <v>7219</v>
      </c>
      <c r="G36" s="34" t="s">
        <v>7220</v>
      </c>
      <c r="H36" s="34" t="s">
        <v>7221</v>
      </c>
      <c r="I36" s="33" t="s">
        <v>84</v>
      </c>
      <c r="J36" s="34" t="s">
        <v>7222</v>
      </c>
      <c r="K36" s="35"/>
      <c r="L36" s="34" t="s">
        <v>7151</v>
      </c>
      <c r="M36" s="35" t="s">
        <v>29</v>
      </c>
      <c r="N36" s="34" t="s">
        <v>7223</v>
      </c>
      <c r="O36" s="35" t="s">
        <v>816</v>
      </c>
      <c r="P36" s="35" t="s">
        <v>669</v>
      </c>
    </row>
    <row r="37" spans="1:17" ht="13.2" customHeight="1" x14ac:dyDescent="0.25">
      <c r="A37" s="33">
        <v>35</v>
      </c>
      <c r="B37" s="34" t="s">
        <v>7224</v>
      </c>
      <c r="C37" s="35"/>
      <c r="D37" s="34" t="s">
        <v>7225</v>
      </c>
      <c r="E37" s="34" t="s">
        <v>7226</v>
      </c>
      <c r="F37" s="34" t="s">
        <v>7227</v>
      </c>
      <c r="G37" s="34" t="s">
        <v>7228</v>
      </c>
      <c r="H37" s="34" t="s">
        <v>7229</v>
      </c>
      <c r="I37" s="33" t="s">
        <v>113</v>
      </c>
      <c r="J37" s="34" t="s">
        <v>7230</v>
      </c>
      <c r="K37" s="35"/>
      <c r="L37" s="34" t="s">
        <v>7151</v>
      </c>
      <c r="M37" s="35" t="s">
        <v>29</v>
      </c>
      <c r="N37" s="34" t="s">
        <v>7231</v>
      </c>
      <c r="O37" s="35" t="s">
        <v>816</v>
      </c>
      <c r="P37" s="35" t="s">
        <v>669</v>
      </c>
    </row>
    <row r="38" spans="1:17" ht="13.2" customHeight="1" x14ac:dyDescent="0.25">
      <c r="A38" s="33">
        <v>36</v>
      </c>
      <c r="B38" s="34" t="s">
        <v>7232</v>
      </c>
      <c r="C38" s="35"/>
      <c r="D38" s="34" t="s">
        <v>7233</v>
      </c>
      <c r="E38" s="34" t="s">
        <v>7234</v>
      </c>
      <c r="F38" s="34" t="s">
        <v>7235</v>
      </c>
      <c r="G38" s="34" t="s">
        <v>7236</v>
      </c>
      <c r="H38" s="34" t="s">
        <v>7237</v>
      </c>
      <c r="I38" s="33" t="s">
        <v>123</v>
      </c>
      <c r="J38" s="34" t="s">
        <v>7238</v>
      </c>
      <c r="K38" s="35"/>
      <c r="L38" s="34" t="s">
        <v>7038</v>
      </c>
      <c r="M38" s="35" t="s">
        <v>29</v>
      </c>
      <c r="N38" s="34" t="s">
        <v>7239</v>
      </c>
      <c r="O38" s="35" t="s">
        <v>816</v>
      </c>
      <c r="P38" s="35" t="s">
        <v>669</v>
      </c>
    </row>
    <row r="39" spans="1:17" ht="13.2" customHeight="1" x14ac:dyDescent="0.25">
      <c r="A39" s="33">
        <v>37</v>
      </c>
      <c r="B39" s="34" t="s">
        <v>7240</v>
      </c>
      <c r="C39" s="35"/>
      <c r="D39" s="34" t="s">
        <v>7241</v>
      </c>
      <c r="E39" s="34" t="s">
        <v>7242</v>
      </c>
      <c r="F39" s="34" t="s">
        <v>7243</v>
      </c>
      <c r="G39" s="34" t="s">
        <v>7244</v>
      </c>
      <c r="H39" s="34" t="s">
        <v>799</v>
      </c>
      <c r="I39" s="33" t="s">
        <v>113</v>
      </c>
      <c r="J39" s="34" t="s">
        <v>7245</v>
      </c>
      <c r="K39" s="35"/>
      <c r="L39" s="34" t="s">
        <v>7038</v>
      </c>
      <c r="M39" s="35" t="s">
        <v>29</v>
      </c>
      <c r="N39" s="34" t="s">
        <v>5479</v>
      </c>
      <c r="O39" s="35" t="s">
        <v>816</v>
      </c>
      <c r="P39" s="35" t="s">
        <v>669</v>
      </c>
    </row>
    <row r="40" spans="1:17" ht="13.2" customHeight="1" x14ac:dyDescent="0.25">
      <c r="A40" s="33">
        <v>38</v>
      </c>
      <c r="B40" s="34" t="s">
        <v>7246</v>
      </c>
      <c r="C40" s="35"/>
      <c r="D40" s="34" t="s">
        <v>7247</v>
      </c>
      <c r="E40" s="34" t="s">
        <v>7248</v>
      </c>
      <c r="F40" s="34" t="s">
        <v>7249</v>
      </c>
      <c r="G40" s="34" t="s">
        <v>7250</v>
      </c>
      <c r="H40" s="34" t="s">
        <v>7251</v>
      </c>
      <c r="I40" s="33" t="s">
        <v>113</v>
      </c>
      <c r="J40" s="34" t="s">
        <v>7252</v>
      </c>
      <c r="K40" s="35"/>
      <c r="L40" s="34" t="s">
        <v>7038</v>
      </c>
      <c r="M40" s="35" t="s">
        <v>29</v>
      </c>
      <c r="N40" s="34" t="s">
        <v>3004</v>
      </c>
      <c r="O40" s="35" t="s">
        <v>816</v>
      </c>
      <c r="P40" s="35" t="s">
        <v>669</v>
      </c>
    </row>
    <row r="41" spans="1:17" ht="13.2" customHeight="1" x14ac:dyDescent="0.25">
      <c r="A41" s="33">
        <v>39</v>
      </c>
      <c r="B41" s="34" t="s">
        <v>7253</v>
      </c>
      <c r="C41" s="35"/>
      <c r="D41" s="34" t="s">
        <v>7254</v>
      </c>
      <c r="E41" s="34" t="s">
        <v>4597</v>
      </c>
      <c r="F41" s="34" t="s">
        <v>7255</v>
      </c>
      <c r="G41" s="34" t="s">
        <v>4397</v>
      </c>
      <c r="H41" s="34" t="s">
        <v>7256</v>
      </c>
      <c r="I41" s="33" t="s">
        <v>84</v>
      </c>
      <c r="J41" s="34" t="s">
        <v>7257</v>
      </c>
      <c r="K41" s="35"/>
      <c r="L41" s="34" t="s">
        <v>7038</v>
      </c>
      <c r="M41" s="35" t="s">
        <v>29</v>
      </c>
      <c r="N41" s="34" t="s">
        <v>3012</v>
      </c>
      <c r="O41" s="35" t="s">
        <v>816</v>
      </c>
      <c r="P41" s="35" t="s">
        <v>669</v>
      </c>
    </row>
    <row r="42" spans="1:17" ht="13.2" customHeight="1" x14ac:dyDescent="0.25">
      <c r="A42" s="33">
        <v>40</v>
      </c>
      <c r="B42" s="34" t="s">
        <v>7258</v>
      </c>
      <c r="C42" s="35"/>
      <c r="D42" s="34" t="s">
        <v>675</v>
      </c>
      <c r="E42" s="34" t="s">
        <v>559</v>
      </c>
      <c r="F42" s="34" t="s">
        <v>7259</v>
      </c>
      <c r="G42" s="34" t="s">
        <v>733</v>
      </c>
      <c r="H42" s="34" t="s">
        <v>7260</v>
      </c>
      <c r="I42" s="33" t="s">
        <v>123</v>
      </c>
      <c r="J42" s="34" t="s">
        <v>7261</v>
      </c>
      <c r="K42" s="35"/>
      <c r="L42" s="34" t="s">
        <v>7151</v>
      </c>
      <c r="M42" s="35" t="s">
        <v>29</v>
      </c>
      <c r="N42" s="34" t="s">
        <v>7262</v>
      </c>
      <c r="O42" s="35" t="s">
        <v>816</v>
      </c>
      <c r="P42" s="35" t="s">
        <v>669</v>
      </c>
    </row>
    <row r="43" spans="1:17" ht="13.2" customHeight="1" x14ac:dyDescent="0.25">
      <c r="A43" s="33">
        <v>41</v>
      </c>
      <c r="B43" s="34" t="s">
        <v>7263</v>
      </c>
      <c r="C43" s="35"/>
      <c r="D43" s="34" t="s">
        <v>7264</v>
      </c>
      <c r="E43" s="34" t="s">
        <v>7265</v>
      </c>
      <c r="F43" s="34" t="s">
        <v>7266</v>
      </c>
      <c r="G43" s="34" t="s">
        <v>7267</v>
      </c>
      <c r="H43" s="34" t="s">
        <v>7268</v>
      </c>
      <c r="I43" s="33" t="s">
        <v>84</v>
      </c>
      <c r="J43" s="34" t="s">
        <v>7269</v>
      </c>
      <c r="K43" s="35"/>
      <c r="L43" s="34" t="s">
        <v>7038</v>
      </c>
      <c r="M43" s="35" t="s">
        <v>29</v>
      </c>
      <c r="N43" s="34" t="s">
        <v>7270</v>
      </c>
      <c r="O43" s="35" t="s">
        <v>816</v>
      </c>
      <c r="P43" s="35" t="s">
        <v>1849</v>
      </c>
      <c r="Q43" s="2"/>
    </row>
    <row r="44" spans="1:17" ht="13.2" customHeight="1" x14ac:dyDescent="0.25">
      <c r="A44" s="33">
        <v>42</v>
      </c>
      <c r="B44" s="34" t="s">
        <v>7271</v>
      </c>
      <c r="C44" s="35"/>
      <c r="D44" s="34" t="s">
        <v>7272</v>
      </c>
      <c r="E44" s="34" t="s">
        <v>7273</v>
      </c>
      <c r="F44" s="34" t="s">
        <v>7274</v>
      </c>
      <c r="G44" s="34" t="s">
        <v>7275</v>
      </c>
      <c r="H44" s="34" t="s">
        <v>7276</v>
      </c>
      <c r="I44" s="33" t="s">
        <v>90</v>
      </c>
      <c r="J44" s="34" t="s">
        <v>7277</v>
      </c>
      <c r="K44" s="35"/>
      <c r="L44" s="34" t="s">
        <v>7038</v>
      </c>
      <c r="M44" s="35" t="s">
        <v>29</v>
      </c>
      <c r="N44" s="34" t="s">
        <v>7278</v>
      </c>
      <c r="O44" s="35" t="s">
        <v>816</v>
      </c>
      <c r="P44" s="35" t="s">
        <v>1849</v>
      </c>
      <c r="Q44" s="2"/>
    </row>
    <row r="45" spans="1:17" ht="13.2" customHeight="1" x14ac:dyDescent="0.25">
      <c r="A45" s="33">
        <v>43</v>
      </c>
      <c r="B45" s="34" t="s">
        <v>7279</v>
      </c>
      <c r="C45" s="35"/>
      <c r="D45" s="34" t="s">
        <v>4208</v>
      </c>
      <c r="E45" s="34" t="s">
        <v>479</v>
      </c>
      <c r="F45" s="34" t="s">
        <v>7280</v>
      </c>
      <c r="G45" s="34" t="s">
        <v>7281</v>
      </c>
      <c r="H45" s="34" t="s">
        <v>7282</v>
      </c>
      <c r="I45" s="33" t="s">
        <v>84</v>
      </c>
      <c r="J45" s="34" t="s">
        <v>7283</v>
      </c>
      <c r="K45" s="35"/>
      <c r="L45" s="34" t="s">
        <v>7038</v>
      </c>
      <c r="M45" s="35" t="s">
        <v>29</v>
      </c>
      <c r="N45" s="34" t="s">
        <v>7284</v>
      </c>
      <c r="O45" s="35" t="s">
        <v>816</v>
      </c>
      <c r="P45" s="35" t="s">
        <v>1849</v>
      </c>
      <c r="Q45" s="2"/>
    </row>
    <row r="46" spans="1:17" ht="13.2" customHeight="1" x14ac:dyDescent="0.25">
      <c r="A46" s="33">
        <v>44</v>
      </c>
      <c r="B46" s="34" t="s">
        <v>7285</v>
      </c>
      <c r="C46" s="35"/>
      <c r="D46" s="34" t="s">
        <v>7286</v>
      </c>
      <c r="E46" s="34" t="s">
        <v>7287</v>
      </c>
      <c r="F46" s="34" t="s">
        <v>7288</v>
      </c>
      <c r="G46" s="34" t="s">
        <v>7289</v>
      </c>
      <c r="H46" s="34" t="s">
        <v>7290</v>
      </c>
      <c r="I46" s="33" t="s">
        <v>84</v>
      </c>
      <c r="J46" s="34" t="s">
        <v>7291</v>
      </c>
      <c r="K46" s="35"/>
      <c r="L46" s="34" t="s">
        <v>7038</v>
      </c>
      <c r="M46" s="35" t="s">
        <v>29</v>
      </c>
      <c r="N46" s="34" t="s">
        <v>7292</v>
      </c>
      <c r="O46" s="35" t="s">
        <v>816</v>
      </c>
      <c r="P46" s="35" t="s">
        <v>1849</v>
      </c>
      <c r="Q46" s="2"/>
    </row>
    <row r="47" spans="1:17" ht="13.2" customHeight="1" x14ac:dyDescent="0.25">
      <c r="A47" s="33">
        <v>45</v>
      </c>
      <c r="B47" s="34" t="s">
        <v>7293</v>
      </c>
      <c r="C47" s="35"/>
      <c r="D47" s="34" t="s">
        <v>7294</v>
      </c>
      <c r="E47" s="34" t="s">
        <v>7295</v>
      </c>
      <c r="F47" s="34" t="s">
        <v>7296</v>
      </c>
      <c r="G47" s="34" t="s">
        <v>1503</v>
      </c>
      <c r="H47" s="34" t="s">
        <v>7297</v>
      </c>
      <c r="I47" s="33" t="s">
        <v>84</v>
      </c>
      <c r="J47" s="34" t="s">
        <v>7298</v>
      </c>
      <c r="K47" s="35"/>
      <c r="L47" s="34" t="s">
        <v>7038</v>
      </c>
      <c r="M47" s="35" t="s">
        <v>29</v>
      </c>
      <c r="N47" s="34" t="s">
        <v>7299</v>
      </c>
      <c r="O47" s="35" t="s">
        <v>816</v>
      </c>
      <c r="P47" s="35" t="s">
        <v>1849</v>
      </c>
      <c r="Q47" s="2"/>
    </row>
    <row r="48" spans="1:17" ht="13.2" customHeight="1" x14ac:dyDescent="0.25">
      <c r="A48" s="33">
        <v>46</v>
      </c>
      <c r="B48" s="34" t="s">
        <v>7300</v>
      </c>
      <c r="C48" s="35"/>
      <c r="D48" s="34" t="s">
        <v>7301</v>
      </c>
      <c r="E48" s="34" t="s">
        <v>7302</v>
      </c>
      <c r="F48" s="34" t="s">
        <v>7303</v>
      </c>
      <c r="G48" s="34" t="s">
        <v>7304</v>
      </c>
      <c r="H48" s="34" t="s">
        <v>799</v>
      </c>
      <c r="I48" s="33" t="s">
        <v>90</v>
      </c>
      <c r="J48" s="34" t="s">
        <v>7305</v>
      </c>
      <c r="K48" s="35"/>
      <c r="L48" s="34" t="s">
        <v>7038</v>
      </c>
      <c r="M48" s="35" t="s">
        <v>29</v>
      </c>
      <c r="N48" s="34" t="s">
        <v>7306</v>
      </c>
      <c r="O48" s="35" t="s">
        <v>816</v>
      </c>
      <c r="P48" s="35" t="s">
        <v>1849</v>
      </c>
      <c r="Q48" s="2"/>
    </row>
    <row r="49" spans="1:17" ht="13.2" customHeight="1" x14ac:dyDescent="0.25">
      <c r="A49" s="33">
        <v>47</v>
      </c>
      <c r="B49" s="34" t="s">
        <v>7307</v>
      </c>
      <c r="C49" s="35"/>
      <c r="D49" s="34" t="s">
        <v>7308</v>
      </c>
      <c r="E49" s="34" t="s">
        <v>7309</v>
      </c>
      <c r="F49" s="34" t="s">
        <v>7310</v>
      </c>
      <c r="G49" s="34" t="s">
        <v>7311</v>
      </c>
      <c r="H49" s="34" t="s">
        <v>7312</v>
      </c>
      <c r="I49" s="33" t="s">
        <v>84</v>
      </c>
      <c r="J49" s="34" t="s">
        <v>7313</v>
      </c>
      <c r="K49" s="35"/>
      <c r="L49" s="34" t="s">
        <v>7038</v>
      </c>
      <c r="M49" s="35" t="s">
        <v>29</v>
      </c>
      <c r="N49" s="34" t="s">
        <v>7314</v>
      </c>
      <c r="O49" s="35" t="s">
        <v>164</v>
      </c>
      <c r="P49" s="35" t="s">
        <v>1865</v>
      </c>
      <c r="Q49" s="2"/>
    </row>
    <row r="50" spans="1:17" ht="13.2" customHeight="1" x14ac:dyDescent="0.25">
      <c r="A50" s="33">
        <v>48</v>
      </c>
      <c r="B50" s="34" t="s">
        <v>7315</v>
      </c>
      <c r="C50" s="35"/>
      <c r="D50" s="34" t="s">
        <v>7308</v>
      </c>
      <c r="E50" s="34" t="s">
        <v>7309</v>
      </c>
      <c r="F50" s="34" t="s">
        <v>7310</v>
      </c>
      <c r="G50" s="34" t="s">
        <v>7311</v>
      </c>
      <c r="H50" s="34" t="s">
        <v>7312</v>
      </c>
      <c r="I50" s="33" t="s">
        <v>84</v>
      </c>
      <c r="J50" s="34" t="s">
        <v>7316</v>
      </c>
      <c r="K50" s="35"/>
      <c r="L50" s="34" t="s">
        <v>7038</v>
      </c>
      <c r="M50" s="35" t="s">
        <v>29</v>
      </c>
      <c r="N50" s="34" t="s">
        <v>7317</v>
      </c>
      <c r="O50" s="35" t="s">
        <v>164</v>
      </c>
      <c r="P50" s="35" t="s">
        <v>1865</v>
      </c>
      <c r="Q50" s="2"/>
    </row>
    <row r="51" spans="1:17" ht="13.2" customHeight="1" x14ac:dyDescent="0.25">
      <c r="A51" s="33">
        <v>49</v>
      </c>
      <c r="B51" s="34" t="s">
        <v>7318</v>
      </c>
      <c r="C51" s="35"/>
      <c r="D51" s="34" t="s">
        <v>7319</v>
      </c>
      <c r="E51" s="34" t="s">
        <v>7320</v>
      </c>
      <c r="F51" s="34" t="s">
        <v>7321</v>
      </c>
      <c r="G51" s="34" t="s">
        <v>7322</v>
      </c>
      <c r="H51" s="34" t="s">
        <v>1913</v>
      </c>
      <c r="I51" s="33" t="s">
        <v>84</v>
      </c>
      <c r="J51" s="34" t="s">
        <v>7323</v>
      </c>
      <c r="K51" s="35"/>
      <c r="L51" s="34" t="s">
        <v>7038</v>
      </c>
      <c r="M51" s="35" t="s">
        <v>29</v>
      </c>
      <c r="N51" s="34" t="s">
        <v>7324</v>
      </c>
      <c r="O51" s="35" t="s">
        <v>164</v>
      </c>
      <c r="P51" s="35" t="s">
        <v>1865</v>
      </c>
      <c r="Q51" s="2"/>
    </row>
    <row r="52" spans="1:17" ht="13.2" customHeight="1" x14ac:dyDescent="0.25">
      <c r="A52" s="33">
        <v>50</v>
      </c>
      <c r="B52" s="34" t="s">
        <v>7325</v>
      </c>
      <c r="C52" s="35"/>
      <c r="D52" s="34" t="s">
        <v>7038</v>
      </c>
      <c r="E52" s="34" t="s">
        <v>7322</v>
      </c>
      <c r="F52" s="34" t="s">
        <v>7326</v>
      </c>
      <c r="G52" s="34" t="s">
        <v>7012</v>
      </c>
      <c r="H52" s="34" t="s">
        <v>7013</v>
      </c>
      <c r="I52" s="33" t="s">
        <v>84</v>
      </c>
      <c r="J52" s="34" t="s">
        <v>7327</v>
      </c>
      <c r="K52" s="35"/>
      <c r="L52" s="34" t="s">
        <v>7038</v>
      </c>
      <c r="M52" s="35" t="s">
        <v>29</v>
      </c>
      <c r="N52" s="34" t="s">
        <v>7328</v>
      </c>
      <c r="O52" s="35" t="s">
        <v>164</v>
      </c>
      <c r="P52" s="35" t="s">
        <v>1865</v>
      </c>
    </row>
    <row r="53" spans="1:17" ht="13.2" customHeight="1" x14ac:dyDescent="0.25">
      <c r="A53" s="33">
        <v>51</v>
      </c>
      <c r="B53" s="34" t="s">
        <v>7329</v>
      </c>
      <c r="C53" s="35"/>
      <c r="D53" s="34" t="s">
        <v>7038</v>
      </c>
      <c r="E53" s="34" t="s">
        <v>7013</v>
      </c>
      <c r="F53" s="34" t="s">
        <v>7014</v>
      </c>
      <c r="G53" s="34" t="s">
        <v>3359</v>
      </c>
      <c r="H53" s="34" t="s">
        <v>7015</v>
      </c>
      <c r="I53" s="33" t="s">
        <v>84</v>
      </c>
      <c r="J53" s="34" t="s">
        <v>7330</v>
      </c>
      <c r="K53" s="35"/>
      <c r="L53" s="34" t="s">
        <v>7038</v>
      </c>
      <c r="M53" s="35" t="s">
        <v>29</v>
      </c>
      <c r="N53" s="34" t="s">
        <v>7331</v>
      </c>
      <c r="O53" s="35" t="s">
        <v>164</v>
      </c>
      <c r="P53" s="35" t="s">
        <v>1865</v>
      </c>
    </row>
    <row r="54" spans="1:17" ht="13.2" customHeight="1" x14ac:dyDescent="0.25">
      <c r="A54" s="33">
        <v>52</v>
      </c>
      <c r="B54" s="34" t="s">
        <v>7332</v>
      </c>
      <c r="C54" s="35"/>
      <c r="D54" s="34" t="s">
        <v>7333</v>
      </c>
      <c r="E54" s="34" t="s">
        <v>7334</v>
      </c>
      <c r="F54" s="34" t="s">
        <v>157</v>
      </c>
      <c r="G54" s="34" t="s">
        <v>6241</v>
      </c>
      <c r="H54" s="34" t="s">
        <v>7335</v>
      </c>
      <c r="I54" s="33" t="s">
        <v>84</v>
      </c>
      <c r="J54" s="34" t="s">
        <v>7336</v>
      </c>
      <c r="K54" s="35"/>
      <c r="L54" s="34" t="s">
        <v>7060</v>
      </c>
      <c r="M54" s="35" t="s">
        <v>29</v>
      </c>
      <c r="N54" s="34" t="s">
        <v>7337</v>
      </c>
      <c r="O54" s="35" t="s">
        <v>164</v>
      </c>
      <c r="P54" s="35" t="s">
        <v>1865</v>
      </c>
      <c r="Q54" s="2"/>
    </row>
    <row r="55" spans="1:17" ht="13.2" customHeight="1" x14ac:dyDescent="0.25">
      <c r="A55" s="33">
        <v>53</v>
      </c>
      <c r="B55" s="34" t="s">
        <v>7338</v>
      </c>
      <c r="C55" s="35"/>
      <c r="D55" s="34" t="s">
        <v>7038</v>
      </c>
      <c r="E55" s="34" t="s">
        <v>7319</v>
      </c>
      <c r="F55" s="34" t="s">
        <v>7320</v>
      </c>
      <c r="G55" s="34" t="s">
        <v>7321</v>
      </c>
      <c r="H55" s="34" t="s">
        <v>7322</v>
      </c>
      <c r="I55" s="33" t="s">
        <v>84</v>
      </c>
      <c r="J55" s="34" t="s">
        <v>7339</v>
      </c>
      <c r="K55" s="35"/>
      <c r="L55" s="34" t="s">
        <v>7038</v>
      </c>
      <c r="M55" s="35" t="s">
        <v>29</v>
      </c>
      <c r="N55" s="34" t="s">
        <v>7340</v>
      </c>
      <c r="O55" s="35" t="s">
        <v>164</v>
      </c>
      <c r="P55" s="35" t="s">
        <v>2017</v>
      </c>
    </row>
    <row r="56" spans="1:17" ht="13.2" customHeight="1" x14ac:dyDescent="0.25">
      <c r="A56" s="33">
        <v>54</v>
      </c>
      <c r="B56" s="34" t="s">
        <v>7341</v>
      </c>
      <c r="C56" s="35"/>
      <c r="D56" s="34" t="s">
        <v>7038</v>
      </c>
      <c r="E56" s="34" t="s">
        <v>7322</v>
      </c>
      <c r="F56" s="34" t="s">
        <v>7326</v>
      </c>
      <c r="G56" s="34" t="s">
        <v>7012</v>
      </c>
      <c r="H56" s="34" t="s">
        <v>7013</v>
      </c>
      <c r="I56" s="33" t="s">
        <v>84</v>
      </c>
      <c r="J56" s="34" t="s">
        <v>7342</v>
      </c>
      <c r="K56" s="35"/>
      <c r="L56" s="34" t="s">
        <v>7038</v>
      </c>
      <c r="M56" s="35" t="s">
        <v>29</v>
      </c>
      <c r="N56" s="34" t="s">
        <v>7343</v>
      </c>
      <c r="O56" s="35" t="s">
        <v>164</v>
      </c>
      <c r="P56" s="35" t="s">
        <v>2017</v>
      </c>
    </row>
    <row r="57" spans="1:17" ht="13.2" customHeight="1" x14ac:dyDescent="0.25">
      <c r="A57" s="33">
        <v>55</v>
      </c>
      <c r="B57" s="34" t="s">
        <v>7344</v>
      </c>
      <c r="C57" s="35"/>
      <c r="D57" s="34" t="s">
        <v>7038</v>
      </c>
      <c r="E57" s="34" t="s">
        <v>7013</v>
      </c>
      <c r="F57" s="34" t="s">
        <v>7014</v>
      </c>
      <c r="G57" s="34" t="s">
        <v>3359</v>
      </c>
      <c r="H57" s="34" t="s">
        <v>7015</v>
      </c>
      <c r="I57" s="33" t="s">
        <v>84</v>
      </c>
      <c r="J57" s="34" t="s">
        <v>7345</v>
      </c>
      <c r="K57" s="35"/>
      <c r="L57" s="34" t="s">
        <v>7038</v>
      </c>
      <c r="M57" s="35" t="s">
        <v>29</v>
      </c>
      <c r="N57" s="34" t="s">
        <v>4809</v>
      </c>
      <c r="O57" s="35" t="s">
        <v>164</v>
      </c>
      <c r="P57" s="35" t="s">
        <v>2017</v>
      </c>
    </row>
    <row r="58" spans="1:17" ht="13.2" customHeight="1" x14ac:dyDescent="0.25">
      <c r="A58" s="33">
        <v>56</v>
      </c>
      <c r="B58" s="34" t="s">
        <v>7346</v>
      </c>
      <c r="C58" s="35"/>
      <c r="D58" s="34" t="s">
        <v>7038</v>
      </c>
      <c r="E58" s="34" t="s">
        <v>7015</v>
      </c>
      <c r="F58" s="34" t="s">
        <v>7347</v>
      </c>
      <c r="G58" s="34" t="s">
        <v>7348</v>
      </c>
      <c r="H58" s="34" t="s">
        <v>7319</v>
      </c>
      <c r="I58" s="33" t="s">
        <v>84</v>
      </c>
      <c r="J58" s="34" t="s">
        <v>7349</v>
      </c>
      <c r="K58" s="35"/>
      <c r="L58" s="34" t="s">
        <v>7038</v>
      </c>
      <c r="M58" s="35" t="s">
        <v>29</v>
      </c>
      <c r="N58" s="34" t="s">
        <v>7340</v>
      </c>
      <c r="O58" s="35" t="s">
        <v>164</v>
      </c>
      <c r="P58" s="35" t="s">
        <v>2017</v>
      </c>
    </row>
    <row r="59" spans="1:17" ht="13.2" customHeight="1" x14ac:dyDescent="0.25">
      <c r="A59" s="33">
        <v>57</v>
      </c>
      <c r="B59" s="34" t="s">
        <v>7350</v>
      </c>
      <c r="C59" s="35"/>
      <c r="D59" s="34" t="s">
        <v>7351</v>
      </c>
      <c r="E59" s="34" t="s">
        <v>7352</v>
      </c>
      <c r="F59" s="34" t="s">
        <v>7353</v>
      </c>
      <c r="G59" s="34" t="s">
        <v>7354</v>
      </c>
      <c r="H59" s="34" t="s">
        <v>7355</v>
      </c>
      <c r="I59" s="33" t="s">
        <v>84</v>
      </c>
      <c r="J59" s="34" t="s">
        <v>7356</v>
      </c>
      <c r="K59" s="35"/>
      <c r="L59" s="34" t="s">
        <v>7038</v>
      </c>
      <c r="M59" s="35" t="s">
        <v>29</v>
      </c>
      <c r="N59" s="34" t="s">
        <v>2093</v>
      </c>
      <c r="O59" s="35" t="s">
        <v>164</v>
      </c>
      <c r="P59" s="35" t="s">
        <v>2109</v>
      </c>
      <c r="Q59" s="2"/>
    </row>
    <row r="60" spans="1:17" ht="13.2" customHeight="1" x14ac:dyDescent="0.25">
      <c r="A60" s="33">
        <v>58</v>
      </c>
      <c r="B60" s="34" t="s">
        <v>7357</v>
      </c>
      <c r="C60" s="35"/>
      <c r="D60" s="34" t="s">
        <v>7322</v>
      </c>
      <c r="E60" s="34" t="s">
        <v>7326</v>
      </c>
      <c r="F60" s="34" t="s">
        <v>7012</v>
      </c>
      <c r="G60" s="34" t="s">
        <v>7013</v>
      </c>
      <c r="H60" s="34" t="s">
        <v>7358</v>
      </c>
      <c r="I60" s="33" t="s">
        <v>96</v>
      </c>
      <c r="J60" s="34" t="s">
        <v>7359</v>
      </c>
      <c r="K60" s="35"/>
      <c r="L60" s="34" t="s">
        <v>7038</v>
      </c>
      <c r="M60" s="35" t="s">
        <v>29</v>
      </c>
      <c r="N60" s="34" t="s">
        <v>7360</v>
      </c>
      <c r="O60" s="35" t="s">
        <v>164</v>
      </c>
      <c r="P60" s="35" t="s">
        <v>2109</v>
      </c>
      <c r="Q60" s="2"/>
    </row>
    <row r="61" spans="1:17" ht="13.2" customHeight="1" x14ac:dyDescent="0.25">
      <c r="A61" s="33">
        <v>59</v>
      </c>
      <c r="B61" s="34" t="s">
        <v>7038</v>
      </c>
      <c r="C61" s="35"/>
      <c r="D61" s="34" t="s">
        <v>7038</v>
      </c>
      <c r="E61" s="34" t="s">
        <v>7013</v>
      </c>
      <c r="F61" s="34" t="s">
        <v>7014</v>
      </c>
      <c r="G61" s="34" t="s">
        <v>3359</v>
      </c>
      <c r="H61" s="34" t="s">
        <v>7015</v>
      </c>
      <c r="I61" s="33" t="s">
        <v>84</v>
      </c>
      <c r="J61" s="34" t="s">
        <v>7361</v>
      </c>
      <c r="K61" s="35"/>
      <c r="L61" s="34" t="s">
        <v>7038</v>
      </c>
      <c r="M61" s="35" t="s">
        <v>29</v>
      </c>
      <c r="N61" s="34" t="s">
        <v>3261</v>
      </c>
      <c r="O61" s="35" t="s">
        <v>164</v>
      </c>
      <c r="P61" s="35" t="s">
        <v>2109</v>
      </c>
    </row>
    <row r="62" spans="1:17" ht="13.2" customHeight="1" x14ac:dyDescent="0.25">
      <c r="A62" s="33">
        <v>60</v>
      </c>
      <c r="B62" s="34" t="s">
        <v>7362</v>
      </c>
      <c r="C62" s="35"/>
      <c r="D62" s="34" t="s">
        <v>7038</v>
      </c>
      <c r="E62" s="34" t="s">
        <v>7363</v>
      </c>
      <c r="F62" s="34" t="s">
        <v>7347</v>
      </c>
      <c r="G62" s="34" t="s">
        <v>7348</v>
      </c>
      <c r="H62" s="34" t="s">
        <v>7319</v>
      </c>
      <c r="I62" s="33" t="s">
        <v>84</v>
      </c>
      <c r="J62" s="34" t="s">
        <v>7364</v>
      </c>
      <c r="K62" s="35"/>
      <c r="L62" s="34" t="s">
        <v>7038</v>
      </c>
      <c r="M62" s="35" t="s">
        <v>29</v>
      </c>
      <c r="N62" s="34" t="s">
        <v>7365</v>
      </c>
      <c r="O62" s="35" t="s">
        <v>164</v>
      </c>
      <c r="P62" s="35" t="s">
        <v>2155</v>
      </c>
    </row>
    <row r="63" spans="1:17" ht="13.2" customHeight="1" x14ac:dyDescent="0.25">
      <c r="A63" s="33">
        <v>61</v>
      </c>
      <c r="B63" s="34" t="s">
        <v>7366</v>
      </c>
      <c r="C63" s="35"/>
      <c r="D63" s="34" t="s">
        <v>7038</v>
      </c>
      <c r="E63" s="34" t="s">
        <v>7367</v>
      </c>
      <c r="F63" s="34" t="s">
        <v>7320</v>
      </c>
      <c r="G63" s="34" t="s">
        <v>7321</v>
      </c>
      <c r="H63" s="34" t="s">
        <v>7322</v>
      </c>
      <c r="I63" s="33" t="s">
        <v>84</v>
      </c>
      <c r="J63" s="34" t="s">
        <v>7368</v>
      </c>
      <c r="K63" s="35"/>
      <c r="L63" s="34" t="s">
        <v>7038</v>
      </c>
      <c r="M63" s="35" t="s">
        <v>29</v>
      </c>
      <c r="N63" s="34" t="s">
        <v>7369</v>
      </c>
      <c r="O63" s="35" t="s">
        <v>164</v>
      </c>
      <c r="P63" s="35" t="s">
        <v>2155</v>
      </c>
    </row>
    <row r="64" spans="1:17" ht="13.2" customHeight="1" x14ac:dyDescent="0.25">
      <c r="A64" s="33">
        <v>62</v>
      </c>
      <c r="B64" s="34" t="s">
        <v>7370</v>
      </c>
      <c r="C64" s="35"/>
      <c r="D64" s="34" t="s">
        <v>7371</v>
      </c>
      <c r="E64" s="34" t="s">
        <v>7372</v>
      </c>
      <c r="F64" s="34" t="s">
        <v>7373</v>
      </c>
      <c r="G64" s="34" t="s">
        <v>7374</v>
      </c>
      <c r="H64" s="34" t="s">
        <v>7375</v>
      </c>
      <c r="I64" s="33" t="s">
        <v>84</v>
      </c>
      <c r="J64" s="34" t="s">
        <v>7376</v>
      </c>
      <c r="K64" s="35"/>
      <c r="L64" s="34" t="s">
        <v>7038</v>
      </c>
      <c r="M64" s="35" t="s">
        <v>29</v>
      </c>
      <c r="N64" s="34" t="s">
        <v>7377</v>
      </c>
      <c r="O64" s="35" t="s">
        <v>164</v>
      </c>
      <c r="P64" s="35" t="s">
        <v>2271</v>
      </c>
    </row>
    <row r="65" spans="1:16" ht="13.2" customHeight="1" x14ac:dyDescent="0.25">
      <c r="A65" s="33">
        <v>63</v>
      </c>
      <c r="B65" s="34" t="s">
        <v>7378</v>
      </c>
      <c r="C65" s="35"/>
      <c r="D65" s="34" t="s">
        <v>7379</v>
      </c>
      <c r="E65" s="34" t="s">
        <v>7380</v>
      </c>
      <c r="F65" s="34" t="s">
        <v>7381</v>
      </c>
      <c r="G65" s="34" t="s">
        <v>7382</v>
      </c>
      <c r="H65" s="34" t="s">
        <v>7383</v>
      </c>
      <c r="I65" s="33" t="s">
        <v>84</v>
      </c>
      <c r="J65" s="34" t="s">
        <v>7384</v>
      </c>
      <c r="K65" s="35"/>
      <c r="L65" s="34" t="s">
        <v>7038</v>
      </c>
      <c r="M65" s="35" t="s">
        <v>29</v>
      </c>
      <c r="N65" s="34" t="s">
        <v>7385</v>
      </c>
      <c r="O65" s="35" t="s">
        <v>164</v>
      </c>
      <c r="P65" s="35" t="s">
        <v>2271</v>
      </c>
    </row>
    <row r="66" spans="1:16" ht="13.2" customHeight="1" x14ac:dyDescent="0.25">
      <c r="A66" s="33">
        <v>64</v>
      </c>
      <c r="B66" s="34" t="s">
        <v>7386</v>
      </c>
      <c r="C66" s="35"/>
      <c r="D66" s="34" t="s">
        <v>3359</v>
      </c>
      <c r="E66" s="34" t="s">
        <v>7015</v>
      </c>
      <c r="F66" s="34" t="s">
        <v>7347</v>
      </c>
      <c r="G66" s="34" t="s">
        <v>7348</v>
      </c>
      <c r="H66" s="34" t="s">
        <v>7319</v>
      </c>
      <c r="I66" s="33" t="s">
        <v>84</v>
      </c>
      <c r="J66" s="34" t="s">
        <v>7387</v>
      </c>
      <c r="K66" s="35"/>
      <c r="L66" s="34" t="s">
        <v>7038</v>
      </c>
      <c r="M66" s="35" t="s">
        <v>29</v>
      </c>
      <c r="N66" s="34" t="s">
        <v>2241</v>
      </c>
      <c r="O66" s="35" t="s">
        <v>164</v>
      </c>
      <c r="P66" s="35" t="s">
        <v>2317</v>
      </c>
    </row>
    <row r="67" spans="1:16" ht="13.2" customHeight="1" x14ac:dyDescent="0.25">
      <c r="A67" s="33">
        <v>65</v>
      </c>
      <c r="B67" s="34" t="s">
        <v>7388</v>
      </c>
      <c r="C67" s="35"/>
      <c r="D67" s="34" t="s">
        <v>7348</v>
      </c>
      <c r="E67" s="34" t="s">
        <v>7319</v>
      </c>
      <c r="F67" s="34" t="s">
        <v>7320</v>
      </c>
      <c r="G67" s="34" t="s">
        <v>7321</v>
      </c>
      <c r="H67" s="34" t="s">
        <v>7322</v>
      </c>
      <c r="I67" s="33" t="s">
        <v>84</v>
      </c>
      <c r="J67" s="34" t="s">
        <v>7389</v>
      </c>
      <c r="K67" s="35"/>
      <c r="L67" s="34" t="s">
        <v>7038</v>
      </c>
      <c r="M67" s="35" t="s">
        <v>29</v>
      </c>
      <c r="N67" s="34" t="s">
        <v>7390</v>
      </c>
      <c r="O67" s="35" t="s">
        <v>164</v>
      </c>
      <c r="P67" s="35" t="s">
        <v>2317</v>
      </c>
    </row>
    <row r="68" spans="1:16" ht="13.2" customHeight="1" x14ac:dyDescent="0.25">
      <c r="A68" s="33">
        <v>66</v>
      </c>
      <c r="B68" s="34" t="s">
        <v>7391</v>
      </c>
      <c r="C68" s="35"/>
      <c r="D68" s="34" t="s">
        <v>7321</v>
      </c>
      <c r="E68" s="34" t="s">
        <v>7322</v>
      </c>
      <c r="F68" s="34" t="s">
        <v>7326</v>
      </c>
      <c r="G68" s="34" t="s">
        <v>7012</v>
      </c>
      <c r="H68" s="34" t="s">
        <v>7013</v>
      </c>
      <c r="I68" s="33" t="s">
        <v>84</v>
      </c>
      <c r="J68" s="34" t="s">
        <v>7392</v>
      </c>
      <c r="K68" s="35"/>
      <c r="L68" s="34" t="s">
        <v>7038</v>
      </c>
      <c r="M68" s="35" t="s">
        <v>29</v>
      </c>
      <c r="N68" s="34" t="s">
        <v>2263</v>
      </c>
      <c r="O68" s="35" t="s">
        <v>164</v>
      </c>
      <c r="P68" s="35" t="s">
        <v>2317</v>
      </c>
    </row>
    <row r="69" spans="1:16" ht="13.2" customHeight="1" x14ac:dyDescent="0.25">
      <c r="A69" s="33">
        <v>67</v>
      </c>
      <c r="B69" s="34" t="s">
        <v>7393</v>
      </c>
      <c r="C69" s="35"/>
      <c r="D69" s="34" t="s">
        <v>7012</v>
      </c>
      <c r="E69" s="34" t="s">
        <v>7013</v>
      </c>
      <c r="F69" s="34" t="s">
        <v>7014</v>
      </c>
      <c r="G69" s="34" t="s">
        <v>3359</v>
      </c>
      <c r="H69" s="34" t="s">
        <v>7015</v>
      </c>
      <c r="I69" s="33" t="s">
        <v>84</v>
      </c>
      <c r="J69" s="34" t="s">
        <v>7394</v>
      </c>
      <c r="K69" s="35"/>
      <c r="L69" s="34" t="s">
        <v>7038</v>
      </c>
      <c r="M69" s="35" t="s">
        <v>29</v>
      </c>
      <c r="N69" s="34" t="s">
        <v>2222</v>
      </c>
      <c r="O69" s="35" t="s">
        <v>164</v>
      </c>
      <c r="P69" s="35" t="s">
        <v>2317</v>
      </c>
    </row>
    <row r="70" spans="1:16" ht="13.2" customHeight="1" x14ac:dyDescent="0.25">
      <c r="A70" s="33">
        <v>68</v>
      </c>
      <c r="B70" s="34" t="s">
        <v>7395</v>
      </c>
      <c r="C70" s="35"/>
      <c r="D70" s="34" t="s">
        <v>3850</v>
      </c>
      <c r="E70" s="34" t="s">
        <v>3852</v>
      </c>
      <c r="F70" s="34" t="s">
        <v>3851</v>
      </c>
      <c r="G70" s="34" t="s">
        <v>3854</v>
      </c>
      <c r="H70" s="34" t="s">
        <v>3853</v>
      </c>
      <c r="I70" s="33" t="s">
        <v>84</v>
      </c>
      <c r="J70" s="34" t="s">
        <v>7396</v>
      </c>
      <c r="K70" s="35"/>
      <c r="L70" s="34" t="s">
        <v>7038</v>
      </c>
      <c r="M70" s="35" t="s">
        <v>29</v>
      </c>
      <c r="N70" s="34" t="s">
        <v>2241</v>
      </c>
      <c r="O70" s="35" t="s">
        <v>164</v>
      </c>
      <c r="P70" s="35" t="s">
        <v>2317</v>
      </c>
    </row>
    <row r="71" spans="1:16" ht="13.2" customHeight="1" x14ac:dyDescent="0.25">
      <c r="A71" s="33">
        <v>69</v>
      </c>
      <c r="B71" s="34" t="s">
        <v>7397</v>
      </c>
      <c r="C71" s="35"/>
      <c r="D71" s="34" t="s">
        <v>7398</v>
      </c>
      <c r="E71" s="34" t="s">
        <v>7399</v>
      </c>
      <c r="F71" s="34" t="s">
        <v>7400</v>
      </c>
      <c r="G71" s="34" t="s">
        <v>7401</v>
      </c>
      <c r="H71" s="34" t="s">
        <v>7402</v>
      </c>
      <c r="I71" s="33" t="s">
        <v>84</v>
      </c>
      <c r="J71" s="34" t="s">
        <v>7403</v>
      </c>
      <c r="K71" s="35"/>
      <c r="L71" s="34" t="s">
        <v>7038</v>
      </c>
      <c r="M71" s="35" t="s">
        <v>29</v>
      </c>
      <c r="N71" s="34" t="s">
        <v>2263</v>
      </c>
      <c r="O71" s="35" t="s">
        <v>164</v>
      </c>
      <c r="P71" s="35" t="s">
        <v>2317</v>
      </c>
    </row>
    <row r="72" spans="1:16" ht="13.2" customHeight="1" x14ac:dyDescent="0.25">
      <c r="A72" s="33">
        <v>70</v>
      </c>
      <c r="B72" s="34" t="s">
        <v>7404</v>
      </c>
      <c r="C72" s="35"/>
      <c r="D72" s="34" t="s">
        <v>7405</v>
      </c>
      <c r="E72" s="34" t="s">
        <v>7406</v>
      </c>
      <c r="F72" s="34" t="s">
        <v>7407</v>
      </c>
      <c r="G72" s="34" t="s">
        <v>7408</v>
      </c>
      <c r="H72" s="34" t="s">
        <v>1860</v>
      </c>
      <c r="I72" s="33" t="s">
        <v>84</v>
      </c>
      <c r="J72" s="34" t="s">
        <v>7409</v>
      </c>
      <c r="K72" s="35"/>
      <c r="L72" s="34" t="s">
        <v>7038</v>
      </c>
      <c r="M72" s="35" t="s">
        <v>29</v>
      </c>
      <c r="N72" s="34" t="s">
        <v>2222</v>
      </c>
      <c r="O72" s="35" t="s">
        <v>164</v>
      </c>
      <c r="P72" s="35" t="s">
        <v>2317</v>
      </c>
    </row>
    <row r="73" spans="1:16" ht="13.2" customHeight="1" x14ac:dyDescent="0.25">
      <c r="A73" s="33">
        <v>71</v>
      </c>
      <c r="B73" s="34" t="s">
        <v>7410</v>
      </c>
      <c r="C73" s="35"/>
      <c r="D73" s="34" t="s">
        <v>7411</v>
      </c>
      <c r="E73" s="34" t="s">
        <v>7412</v>
      </c>
      <c r="F73" s="34" t="s">
        <v>7407</v>
      </c>
      <c r="G73" s="34" t="s">
        <v>7406</v>
      </c>
      <c r="H73" s="34" t="s">
        <v>7413</v>
      </c>
      <c r="I73" s="33" t="s">
        <v>84</v>
      </c>
      <c r="J73" s="34" t="s">
        <v>7414</v>
      </c>
      <c r="K73" s="35"/>
      <c r="L73" s="34" t="s">
        <v>7038</v>
      </c>
      <c r="M73" s="35" t="s">
        <v>29</v>
      </c>
      <c r="N73" s="34" t="s">
        <v>5159</v>
      </c>
      <c r="O73" s="35" t="s">
        <v>164</v>
      </c>
      <c r="P73" s="35" t="s">
        <v>2317</v>
      </c>
    </row>
    <row r="74" spans="1:16" ht="13.2" customHeight="1" x14ac:dyDescent="0.25">
      <c r="A74" s="33">
        <v>72</v>
      </c>
      <c r="B74" s="34" t="s">
        <v>7415</v>
      </c>
      <c r="C74" s="35"/>
      <c r="D74" s="34" t="s">
        <v>7416</v>
      </c>
      <c r="E74" s="34" t="s">
        <v>7417</v>
      </c>
      <c r="F74" s="34" t="s">
        <v>7418</v>
      </c>
      <c r="G74" s="34" t="s">
        <v>7419</v>
      </c>
      <c r="H74" s="34" t="s">
        <v>7420</v>
      </c>
      <c r="I74" s="33" t="s">
        <v>84</v>
      </c>
      <c r="J74" s="34" t="s">
        <v>7421</v>
      </c>
      <c r="K74" s="35"/>
      <c r="L74" s="34" t="s">
        <v>7038</v>
      </c>
      <c r="M74" s="35" t="s">
        <v>29</v>
      </c>
      <c r="N74" s="34" t="s">
        <v>7422</v>
      </c>
      <c r="O74" s="35" t="s">
        <v>816</v>
      </c>
      <c r="P74" s="35" t="s">
        <v>2629</v>
      </c>
    </row>
    <row r="75" spans="1:16" ht="13.2" customHeight="1" x14ac:dyDescent="0.25">
      <c r="A75" s="33">
        <v>73</v>
      </c>
      <c r="B75" s="34" t="s">
        <v>7423</v>
      </c>
      <c r="C75" s="35"/>
      <c r="D75" s="34" t="s">
        <v>7424</v>
      </c>
      <c r="E75" s="34" t="s">
        <v>7425</v>
      </c>
      <c r="F75" s="34" t="s">
        <v>7426</v>
      </c>
      <c r="G75" s="34" t="s">
        <v>7427</v>
      </c>
      <c r="H75" s="34" t="s">
        <v>7428</v>
      </c>
      <c r="I75" s="33" t="s">
        <v>84</v>
      </c>
      <c r="J75" s="34" t="s">
        <v>7429</v>
      </c>
      <c r="K75" s="35"/>
      <c r="L75" s="34" t="s">
        <v>7038</v>
      </c>
      <c r="M75" s="35" t="s">
        <v>29</v>
      </c>
      <c r="N75" s="34" t="s">
        <v>7430</v>
      </c>
      <c r="O75" s="35" t="s">
        <v>816</v>
      </c>
      <c r="P75" s="35" t="s">
        <v>2629</v>
      </c>
    </row>
    <row r="76" spans="1:16" ht="13.2" customHeight="1" x14ac:dyDescent="0.25">
      <c r="A76" s="33">
        <v>74</v>
      </c>
      <c r="B76" s="34" t="s">
        <v>7431</v>
      </c>
      <c r="C76" s="35"/>
      <c r="D76" s="34" t="s">
        <v>7321</v>
      </c>
      <c r="E76" s="34" t="s">
        <v>7322</v>
      </c>
      <c r="F76" s="34" t="s">
        <v>7326</v>
      </c>
      <c r="G76" s="34" t="s">
        <v>7012</v>
      </c>
      <c r="H76" s="34" t="s">
        <v>7013</v>
      </c>
      <c r="I76" s="33" t="s">
        <v>84</v>
      </c>
      <c r="J76" s="34" t="s">
        <v>7432</v>
      </c>
      <c r="K76" s="35"/>
      <c r="L76" s="34" t="s">
        <v>7038</v>
      </c>
      <c r="M76" s="35" t="s">
        <v>29</v>
      </c>
      <c r="N76" s="34" t="s">
        <v>3560</v>
      </c>
      <c r="O76" s="35" t="s">
        <v>164</v>
      </c>
      <c r="P76" s="35" t="s">
        <v>3561</v>
      </c>
    </row>
    <row r="77" spans="1:16" ht="13.2" customHeight="1" x14ac:dyDescent="0.25">
      <c r="A77" s="33">
        <v>75</v>
      </c>
      <c r="B77" s="34" t="s">
        <v>7433</v>
      </c>
      <c r="C77" s="35"/>
      <c r="D77" s="34" t="s">
        <v>7012</v>
      </c>
      <c r="E77" s="34" t="s">
        <v>7013</v>
      </c>
      <c r="F77" s="34" t="s">
        <v>7014</v>
      </c>
      <c r="G77" s="34" t="s">
        <v>3359</v>
      </c>
      <c r="H77" s="34" t="s">
        <v>7015</v>
      </c>
      <c r="I77" s="33" t="s">
        <v>84</v>
      </c>
      <c r="J77" s="34" t="s">
        <v>7434</v>
      </c>
      <c r="K77" s="35"/>
      <c r="L77" s="34" t="s">
        <v>7038</v>
      </c>
      <c r="M77" s="35" t="s">
        <v>29</v>
      </c>
      <c r="N77" s="34" t="s">
        <v>4970</v>
      </c>
      <c r="O77" s="35" t="s">
        <v>164</v>
      </c>
      <c r="P77" s="35" t="s">
        <v>3561</v>
      </c>
    </row>
    <row r="78" spans="1:16" ht="13.2" customHeight="1" x14ac:dyDescent="0.25">
      <c r="A78" s="33">
        <v>76</v>
      </c>
      <c r="B78" s="34" t="s">
        <v>7435</v>
      </c>
      <c r="C78" s="35"/>
      <c r="D78" s="34" t="s">
        <v>7436</v>
      </c>
      <c r="E78" s="34" t="s">
        <v>7437</v>
      </c>
      <c r="F78" s="34" t="s">
        <v>7438</v>
      </c>
      <c r="G78" s="34" t="s">
        <v>7439</v>
      </c>
      <c r="H78" s="34" t="s">
        <v>7440</v>
      </c>
      <c r="I78" s="33" t="s">
        <v>84</v>
      </c>
      <c r="J78" s="34" t="s">
        <v>7441</v>
      </c>
      <c r="K78" s="35"/>
      <c r="L78" s="34" t="s">
        <v>7038</v>
      </c>
      <c r="M78" s="35" t="s">
        <v>29</v>
      </c>
      <c r="N78" s="34" t="s">
        <v>7442</v>
      </c>
      <c r="O78" s="35" t="s">
        <v>164</v>
      </c>
      <c r="P78" s="35" t="s">
        <v>2706</v>
      </c>
    </row>
    <row r="79" spans="1:16" ht="13.2" customHeight="1" x14ac:dyDescent="0.25">
      <c r="A79" s="33">
        <v>77</v>
      </c>
      <c r="B79" s="34" t="s">
        <v>7443</v>
      </c>
      <c r="C79" s="35"/>
      <c r="D79" s="34" t="s">
        <v>3173</v>
      </c>
      <c r="E79" s="34" t="s">
        <v>7444</v>
      </c>
      <c r="F79" s="34" t="s">
        <v>3175</v>
      </c>
      <c r="G79" s="34" t="s">
        <v>7445</v>
      </c>
      <c r="H79" s="34" t="s">
        <v>3177</v>
      </c>
      <c r="I79" s="33" t="s">
        <v>84</v>
      </c>
      <c r="J79" s="34" t="s">
        <v>7446</v>
      </c>
      <c r="K79" s="35"/>
      <c r="L79" s="34" t="s">
        <v>7038</v>
      </c>
      <c r="M79" s="35" t="s">
        <v>29</v>
      </c>
      <c r="N79" s="34" t="s">
        <v>7447</v>
      </c>
      <c r="O79" s="35" t="s">
        <v>164</v>
      </c>
      <c r="P79" s="35" t="s">
        <v>2706</v>
      </c>
    </row>
    <row r="80" spans="1:16" ht="13.2" customHeight="1" x14ac:dyDescent="0.25">
      <c r="A80" s="33">
        <v>78</v>
      </c>
      <c r="B80" s="34" t="s">
        <v>7448</v>
      </c>
      <c r="C80" s="35"/>
      <c r="D80" s="34" t="s">
        <v>7321</v>
      </c>
      <c r="E80" s="34" t="s">
        <v>7322</v>
      </c>
      <c r="F80" s="34" t="s">
        <v>7326</v>
      </c>
      <c r="G80" s="34" t="s">
        <v>7012</v>
      </c>
      <c r="H80" s="34" t="s">
        <v>7013</v>
      </c>
      <c r="I80" s="33" t="s">
        <v>84</v>
      </c>
      <c r="J80" s="34" t="s">
        <v>7449</v>
      </c>
      <c r="K80" s="35"/>
      <c r="L80" s="34" t="s">
        <v>7038</v>
      </c>
      <c r="M80" s="35" t="s">
        <v>29</v>
      </c>
      <c r="N80" s="34" t="s">
        <v>3603</v>
      </c>
      <c r="O80" s="35" t="s">
        <v>164</v>
      </c>
      <c r="P80" s="35" t="s">
        <v>2706</v>
      </c>
    </row>
    <row r="81" spans="1:16" ht="13.2" customHeight="1" x14ac:dyDescent="0.25">
      <c r="A81" s="33">
        <v>79</v>
      </c>
      <c r="B81" s="34" t="s">
        <v>7450</v>
      </c>
      <c r="C81" s="35"/>
      <c r="D81" s="34" t="s">
        <v>7012</v>
      </c>
      <c r="E81" s="34" t="s">
        <v>7013</v>
      </c>
      <c r="F81" s="34" t="s">
        <v>7014</v>
      </c>
      <c r="G81" s="34" t="s">
        <v>3359</v>
      </c>
      <c r="H81" s="34" t="s">
        <v>7015</v>
      </c>
      <c r="I81" s="33" t="s">
        <v>84</v>
      </c>
      <c r="J81" s="34" t="s">
        <v>7451</v>
      </c>
      <c r="K81" s="35"/>
      <c r="L81" s="34" t="s">
        <v>7038</v>
      </c>
      <c r="M81" s="35" t="s">
        <v>29</v>
      </c>
      <c r="N81" s="34" t="s">
        <v>7452</v>
      </c>
      <c r="O81" s="35" t="s">
        <v>164</v>
      </c>
      <c r="P81" s="35" t="s">
        <v>2706</v>
      </c>
    </row>
    <row r="82" spans="1:16" ht="13.2" customHeight="1" x14ac:dyDescent="0.25">
      <c r="A82" s="33">
        <v>80</v>
      </c>
      <c r="B82" s="34" t="s">
        <v>7453</v>
      </c>
      <c r="C82" s="35"/>
      <c r="D82" s="34" t="s">
        <v>3359</v>
      </c>
      <c r="E82" s="34" t="s">
        <v>7015</v>
      </c>
      <c r="F82" s="34" t="s">
        <v>7347</v>
      </c>
      <c r="G82" s="34" t="s">
        <v>7348</v>
      </c>
      <c r="H82" s="34" t="s">
        <v>7319</v>
      </c>
      <c r="I82" s="33" t="s">
        <v>84</v>
      </c>
      <c r="J82" s="34" t="s">
        <v>7454</v>
      </c>
      <c r="K82" s="35"/>
      <c r="L82" s="34" t="s">
        <v>7038</v>
      </c>
      <c r="M82" s="35" t="s">
        <v>29</v>
      </c>
      <c r="N82" s="34" t="s">
        <v>7452</v>
      </c>
      <c r="O82" s="35" t="s">
        <v>164</v>
      </c>
      <c r="P82" s="35" t="s">
        <v>2706</v>
      </c>
    </row>
    <row r="83" spans="1:16" ht="13.2" customHeight="1" x14ac:dyDescent="0.25">
      <c r="A83" s="33">
        <v>81</v>
      </c>
      <c r="B83" s="34" t="s">
        <v>7455</v>
      </c>
      <c r="C83" s="35"/>
      <c r="D83" s="34" t="s">
        <v>7348</v>
      </c>
      <c r="E83" s="34" t="s">
        <v>7319</v>
      </c>
      <c r="F83" s="34" t="s">
        <v>7320</v>
      </c>
      <c r="G83" s="34" t="s">
        <v>7321</v>
      </c>
      <c r="H83" s="34" t="s">
        <v>7322</v>
      </c>
      <c r="I83" s="33" t="s">
        <v>84</v>
      </c>
      <c r="J83" s="34" t="s">
        <v>7456</v>
      </c>
      <c r="K83" s="35"/>
      <c r="L83" s="34" t="s">
        <v>7038</v>
      </c>
      <c r="M83" s="35" t="s">
        <v>29</v>
      </c>
      <c r="N83" s="34" t="s">
        <v>6873</v>
      </c>
      <c r="O83" s="35" t="s">
        <v>164</v>
      </c>
      <c r="P83" s="35" t="s">
        <v>2706</v>
      </c>
    </row>
    <row r="84" spans="1:16" ht="13.2" customHeight="1" x14ac:dyDescent="0.25">
      <c r="A84" s="33">
        <v>82</v>
      </c>
      <c r="B84" s="34" t="s">
        <v>7457</v>
      </c>
      <c r="C84" s="35"/>
      <c r="D84" s="34" t="s">
        <v>6485</v>
      </c>
      <c r="E84" s="34" t="s">
        <v>7458</v>
      </c>
      <c r="F84" s="34" t="s">
        <v>1381</v>
      </c>
      <c r="G84" s="34" t="s">
        <v>1133</v>
      </c>
      <c r="H84" s="34" t="s">
        <v>7459</v>
      </c>
      <c r="I84" s="33" t="s">
        <v>84</v>
      </c>
      <c r="J84" s="34" t="s">
        <v>7460</v>
      </c>
      <c r="K84" s="35"/>
      <c r="L84" s="34" t="s">
        <v>7038</v>
      </c>
      <c r="M84" s="35" t="s">
        <v>29</v>
      </c>
      <c r="N84" s="34" t="s">
        <v>6181</v>
      </c>
      <c r="O84" s="35" t="s">
        <v>164</v>
      </c>
      <c r="P84" s="35" t="s">
        <v>2709</v>
      </c>
    </row>
    <row r="85" spans="1:16" ht="13.2" customHeight="1" x14ac:dyDescent="0.25">
      <c r="A85" s="33">
        <v>83</v>
      </c>
      <c r="B85" s="34" t="s">
        <v>7461</v>
      </c>
      <c r="C85" s="35"/>
      <c r="D85" s="34" t="s">
        <v>7012</v>
      </c>
      <c r="E85" s="34" t="s">
        <v>7013</v>
      </c>
      <c r="F85" s="34" t="s">
        <v>7014</v>
      </c>
      <c r="G85" s="34" t="s">
        <v>3359</v>
      </c>
      <c r="H85" s="34" t="s">
        <v>7015</v>
      </c>
      <c r="I85" s="33" t="s">
        <v>84</v>
      </c>
      <c r="J85" s="34" t="s">
        <v>7462</v>
      </c>
      <c r="K85" s="35"/>
      <c r="L85" s="34" t="s">
        <v>7038</v>
      </c>
      <c r="M85" s="35" t="s">
        <v>29</v>
      </c>
      <c r="N85" s="34" t="s">
        <v>3733</v>
      </c>
      <c r="O85" s="35" t="s">
        <v>816</v>
      </c>
      <c r="P85" s="35" t="s">
        <v>2710</v>
      </c>
    </row>
    <row r="86" spans="1:16" ht="13.2" customHeight="1" x14ac:dyDescent="0.25">
      <c r="A86" s="33">
        <v>84</v>
      </c>
      <c r="B86" s="34" t="s">
        <v>7463</v>
      </c>
      <c r="C86" s="35"/>
      <c r="D86" s="34" t="s">
        <v>7464</v>
      </c>
      <c r="E86" s="34" t="s">
        <v>7465</v>
      </c>
      <c r="F86" s="34" t="s">
        <v>7466</v>
      </c>
      <c r="G86" s="34" t="s">
        <v>7467</v>
      </c>
      <c r="H86" s="34" t="s">
        <v>7468</v>
      </c>
      <c r="I86" s="33" t="s">
        <v>84</v>
      </c>
      <c r="J86" s="34" t="s">
        <v>7469</v>
      </c>
      <c r="K86" s="35"/>
      <c r="L86" s="34" t="s">
        <v>7038</v>
      </c>
      <c r="M86" s="35" t="s">
        <v>29</v>
      </c>
      <c r="N86" s="34" t="s">
        <v>2548</v>
      </c>
      <c r="O86" s="35" t="s">
        <v>816</v>
      </c>
      <c r="P86" s="35" t="s">
        <v>2710</v>
      </c>
    </row>
    <row r="87" spans="1:16" ht="13.2" customHeight="1" x14ac:dyDescent="0.25">
      <c r="A87" s="33">
        <v>85</v>
      </c>
      <c r="B87" s="34" t="s">
        <v>7470</v>
      </c>
      <c r="C87" s="35"/>
      <c r="D87" s="34" t="s">
        <v>7471</v>
      </c>
      <c r="E87" s="34" t="s">
        <v>7472</v>
      </c>
      <c r="F87" s="34" t="s">
        <v>7473</v>
      </c>
      <c r="G87" s="34" t="s">
        <v>7474</v>
      </c>
      <c r="H87" s="34" t="s">
        <v>7475</v>
      </c>
      <c r="I87" s="33" t="s">
        <v>84</v>
      </c>
      <c r="J87" s="34" t="s">
        <v>7476</v>
      </c>
      <c r="K87" s="35"/>
      <c r="L87" s="34" t="s">
        <v>7038</v>
      </c>
      <c r="M87" s="35" t="s">
        <v>29</v>
      </c>
      <c r="N87" s="34" t="s">
        <v>2563</v>
      </c>
      <c r="O87" s="35" t="s">
        <v>816</v>
      </c>
      <c r="P87" s="35" t="s">
        <v>2710</v>
      </c>
    </row>
    <row r="88" spans="1:16" ht="13.2" customHeight="1" x14ac:dyDescent="0.25">
      <c r="A88" s="33">
        <v>86</v>
      </c>
      <c r="B88" s="34" t="s">
        <v>7477</v>
      </c>
      <c r="C88" s="35"/>
      <c r="D88" s="34" t="s">
        <v>7478</v>
      </c>
      <c r="E88" s="34" t="s">
        <v>7479</v>
      </c>
      <c r="F88" s="34" t="s">
        <v>7480</v>
      </c>
      <c r="G88" s="34" t="s">
        <v>7481</v>
      </c>
      <c r="H88" s="34" t="s">
        <v>7482</v>
      </c>
      <c r="I88" s="33" t="s">
        <v>84</v>
      </c>
      <c r="J88" s="34" t="s">
        <v>7483</v>
      </c>
      <c r="K88" s="35"/>
      <c r="L88" s="34" t="s">
        <v>7038</v>
      </c>
      <c r="M88" s="35" t="s">
        <v>29</v>
      </c>
      <c r="N88" s="34" t="s">
        <v>3780</v>
      </c>
      <c r="O88" s="35" t="s">
        <v>816</v>
      </c>
      <c r="P88" s="35" t="s">
        <v>2710</v>
      </c>
    </row>
    <row r="89" spans="1:16" ht="13.2" customHeight="1" x14ac:dyDescent="0.25">
      <c r="A89" s="33">
        <v>87</v>
      </c>
      <c r="B89" s="34" t="s">
        <v>7484</v>
      </c>
      <c r="C89" s="35"/>
      <c r="D89" s="34" t="s">
        <v>7485</v>
      </c>
      <c r="E89" s="34" t="s">
        <v>7486</v>
      </c>
      <c r="F89" s="34" t="s">
        <v>7487</v>
      </c>
      <c r="G89" s="34" t="s">
        <v>7488</v>
      </c>
      <c r="H89" s="34" t="s">
        <v>7489</v>
      </c>
      <c r="I89" s="33" t="s">
        <v>84</v>
      </c>
      <c r="J89" s="34" t="s">
        <v>7490</v>
      </c>
      <c r="K89" s="35"/>
      <c r="L89" s="34" t="s">
        <v>7038</v>
      </c>
      <c r="M89" s="35" t="s">
        <v>29</v>
      </c>
      <c r="N89" s="34" t="s">
        <v>6974</v>
      </c>
      <c r="O89" s="35" t="s">
        <v>816</v>
      </c>
      <c r="P89" s="35" t="s">
        <v>2710</v>
      </c>
    </row>
    <row r="90" spans="1:16" ht="13.2" customHeight="1" x14ac:dyDescent="0.25">
      <c r="A90" s="33">
        <v>88</v>
      </c>
      <c r="B90" s="34" t="s">
        <v>7491</v>
      </c>
      <c r="C90" s="35"/>
      <c r="D90" s="34" t="s">
        <v>7492</v>
      </c>
      <c r="E90" s="34" t="s">
        <v>7412</v>
      </c>
      <c r="F90" s="34" t="s">
        <v>7405</v>
      </c>
      <c r="G90" s="34" t="s">
        <v>7493</v>
      </c>
      <c r="H90" s="34" t="s">
        <v>7494</v>
      </c>
      <c r="I90" s="33" t="s">
        <v>84</v>
      </c>
      <c r="J90" s="34" t="s">
        <v>7495</v>
      </c>
      <c r="K90" s="35"/>
      <c r="L90" s="34" t="s">
        <v>7038</v>
      </c>
      <c r="M90" s="35" t="s">
        <v>29</v>
      </c>
      <c r="N90" s="34" t="s">
        <v>7496</v>
      </c>
      <c r="O90" s="35" t="s">
        <v>816</v>
      </c>
      <c r="P90" s="35" t="s">
        <v>2710</v>
      </c>
    </row>
    <row r="91" spans="1:16" ht="13.2" customHeight="1" x14ac:dyDescent="0.25">
      <c r="A91" s="33">
        <v>89</v>
      </c>
      <c r="B91" s="34" t="s">
        <v>7497</v>
      </c>
      <c r="C91" s="35"/>
      <c r="D91" s="34" t="s">
        <v>7348</v>
      </c>
      <c r="E91" s="34" t="s">
        <v>7319</v>
      </c>
      <c r="F91" s="34" t="s">
        <v>7320</v>
      </c>
      <c r="G91" s="34" t="s">
        <v>7321</v>
      </c>
      <c r="H91" s="34" t="s">
        <v>7498</v>
      </c>
      <c r="I91" s="33" t="s">
        <v>84</v>
      </c>
      <c r="J91" s="34" t="s">
        <v>7499</v>
      </c>
      <c r="K91" s="35"/>
      <c r="L91" s="34" t="s">
        <v>7038</v>
      </c>
      <c r="M91" s="35" t="s">
        <v>29</v>
      </c>
      <c r="N91" s="34" t="s">
        <v>5047</v>
      </c>
      <c r="O91" s="35" t="s">
        <v>816</v>
      </c>
      <c r="P91" s="35" t="s">
        <v>2710</v>
      </c>
    </row>
    <row r="92" spans="1:16" ht="13.2" customHeight="1" x14ac:dyDescent="0.25">
      <c r="A92" s="33">
        <v>90</v>
      </c>
      <c r="B92" s="34" t="s">
        <v>7500</v>
      </c>
      <c r="C92" s="35"/>
      <c r="D92" s="34" t="s">
        <v>7501</v>
      </c>
      <c r="E92" s="34" t="s">
        <v>7502</v>
      </c>
      <c r="F92" s="34" t="s">
        <v>7503</v>
      </c>
      <c r="G92" s="34" t="s">
        <v>7504</v>
      </c>
      <c r="H92" s="34" t="s">
        <v>7505</v>
      </c>
      <c r="I92" s="33" t="s">
        <v>84</v>
      </c>
      <c r="J92" s="34" t="s">
        <v>7506</v>
      </c>
      <c r="K92" s="35"/>
      <c r="L92" s="34" t="s">
        <v>7038</v>
      </c>
      <c r="M92" s="35" t="s">
        <v>29</v>
      </c>
      <c r="N92" s="34" t="s">
        <v>3856</v>
      </c>
      <c r="O92" s="35" t="s">
        <v>816</v>
      </c>
      <c r="P92" s="35" t="s">
        <v>2710</v>
      </c>
    </row>
    <row r="93" spans="1:16" ht="13.2" customHeight="1" x14ac:dyDescent="0.25">
      <c r="A93" s="33">
        <v>91</v>
      </c>
      <c r="B93" s="34" t="s">
        <v>7507</v>
      </c>
      <c r="C93" s="35"/>
      <c r="D93" s="34" t="s">
        <v>7508</v>
      </c>
      <c r="E93" s="34" t="s">
        <v>7509</v>
      </c>
      <c r="F93" s="34" t="s">
        <v>7510</v>
      </c>
      <c r="G93" s="34" t="s">
        <v>7511</v>
      </c>
      <c r="H93" s="34" t="s">
        <v>7512</v>
      </c>
      <c r="I93" s="33" t="s">
        <v>84</v>
      </c>
      <c r="J93" s="34" t="s">
        <v>7513</v>
      </c>
      <c r="K93" s="35"/>
      <c r="L93" s="34" t="s">
        <v>7038</v>
      </c>
      <c r="M93" s="35" t="s">
        <v>29</v>
      </c>
      <c r="N93" s="34" t="s">
        <v>3811</v>
      </c>
      <c r="O93" s="35" t="s">
        <v>816</v>
      </c>
      <c r="P93" s="35" t="s">
        <v>2710</v>
      </c>
    </row>
    <row r="94" spans="1:16" ht="13.2" customHeight="1" x14ac:dyDescent="0.25">
      <c r="A94" s="33">
        <v>92</v>
      </c>
      <c r="B94" s="34" t="s">
        <v>7514</v>
      </c>
      <c r="C94" s="35"/>
      <c r="D94" s="34" t="s">
        <v>7515</v>
      </c>
      <c r="E94" s="34" t="s">
        <v>7516</v>
      </c>
      <c r="F94" s="34" t="s">
        <v>7517</v>
      </c>
      <c r="G94" s="34" t="s">
        <v>7518</v>
      </c>
      <c r="H94" s="34" t="s">
        <v>7519</v>
      </c>
      <c r="I94" s="33" t="s">
        <v>84</v>
      </c>
      <c r="J94" s="34" t="s">
        <v>7520</v>
      </c>
      <c r="K94" s="35"/>
      <c r="L94" s="34" t="s">
        <v>7038</v>
      </c>
      <c r="M94" s="35" t="s">
        <v>29</v>
      </c>
      <c r="N94" s="34" t="s">
        <v>2575</v>
      </c>
      <c r="O94" s="35" t="s">
        <v>816</v>
      </c>
      <c r="P94" s="35" t="s">
        <v>2710</v>
      </c>
    </row>
    <row r="95" spans="1:16" ht="13.2" customHeight="1" x14ac:dyDescent="0.25">
      <c r="A95" s="33">
        <v>93</v>
      </c>
      <c r="B95" s="34" t="s">
        <v>7521</v>
      </c>
      <c r="C95" s="35"/>
      <c r="D95" s="34" t="s">
        <v>7522</v>
      </c>
      <c r="E95" s="34" t="s">
        <v>7406</v>
      </c>
      <c r="F95" s="34" t="s">
        <v>7523</v>
      </c>
      <c r="G95" s="34" t="s">
        <v>7405</v>
      </c>
      <c r="H95" s="34" t="s">
        <v>7524</v>
      </c>
      <c r="I95" s="33" t="s">
        <v>84</v>
      </c>
      <c r="J95" s="34" t="s">
        <v>7525</v>
      </c>
      <c r="K95" s="35"/>
      <c r="L95" s="34" t="s">
        <v>7038</v>
      </c>
      <c r="M95" s="35" t="s">
        <v>29</v>
      </c>
      <c r="N95" s="34" t="s">
        <v>6202</v>
      </c>
      <c r="O95" s="35" t="s">
        <v>816</v>
      </c>
      <c r="P95" s="35" t="s">
        <v>2710</v>
      </c>
    </row>
    <row r="96" spans="1:16" ht="13.2" customHeight="1" x14ac:dyDescent="0.25">
      <c r="A96" s="33">
        <v>94</v>
      </c>
      <c r="B96" s="34" t="s">
        <v>7526</v>
      </c>
      <c r="C96" s="35"/>
      <c r="D96" s="34" t="s">
        <v>7321</v>
      </c>
      <c r="E96" s="34" t="s">
        <v>7322</v>
      </c>
      <c r="F96" s="34" t="s">
        <v>7326</v>
      </c>
      <c r="G96" s="34" t="s">
        <v>7012</v>
      </c>
      <c r="H96" s="34" t="s">
        <v>7013</v>
      </c>
      <c r="I96" s="33" t="s">
        <v>96</v>
      </c>
      <c r="J96" s="34" t="s">
        <v>7527</v>
      </c>
      <c r="K96" s="35"/>
      <c r="L96" s="34" t="s">
        <v>7038</v>
      </c>
      <c r="M96" s="35" t="s">
        <v>29</v>
      </c>
      <c r="N96" s="34" t="s">
        <v>3724</v>
      </c>
      <c r="O96" s="35" t="s">
        <v>816</v>
      </c>
      <c r="P96" s="35" t="s">
        <v>2710</v>
      </c>
    </row>
    <row r="97" spans="1:16" ht="13.2" customHeight="1" x14ac:dyDescent="0.25">
      <c r="A97" s="33">
        <v>95</v>
      </c>
      <c r="B97" s="34" t="s">
        <v>7528</v>
      </c>
      <c r="C97" s="35"/>
      <c r="D97" s="34" t="s">
        <v>7012</v>
      </c>
      <c r="E97" s="34" t="s">
        <v>7013</v>
      </c>
      <c r="F97" s="34" t="s">
        <v>7014</v>
      </c>
      <c r="G97" s="34" t="s">
        <v>3359</v>
      </c>
      <c r="H97" s="34" t="s">
        <v>7015</v>
      </c>
      <c r="I97" s="33" t="s">
        <v>96</v>
      </c>
      <c r="J97" s="34" t="s">
        <v>7529</v>
      </c>
      <c r="K97" s="35"/>
      <c r="L97" s="34" t="s">
        <v>7038</v>
      </c>
      <c r="M97" s="35" t="s">
        <v>29</v>
      </c>
      <c r="N97" s="34" t="s">
        <v>3733</v>
      </c>
      <c r="O97" s="35" t="s">
        <v>816</v>
      </c>
      <c r="P97" s="35" t="s">
        <v>2710</v>
      </c>
    </row>
    <row r="98" spans="1:16" ht="13.2" customHeight="1" x14ac:dyDescent="0.25">
      <c r="A98" s="33">
        <v>96</v>
      </c>
      <c r="B98" s="34" t="s">
        <v>7530</v>
      </c>
      <c r="C98" s="35"/>
      <c r="D98" s="34" t="s">
        <v>7531</v>
      </c>
      <c r="E98" s="34" t="s">
        <v>7532</v>
      </c>
      <c r="F98" s="34" t="s">
        <v>7533</v>
      </c>
      <c r="G98" s="34" t="s">
        <v>7534</v>
      </c>
      <c r="H98" s="34" t="s">
        <v>7319</v>
      </c>
      <c r="I98" s="33" t="s">
        <v>123</v>
      </c>
      <c r="J98" s="34" t="s">
        <v>7535</v>
      </c>
      <c r="K98" s="35"/>
      <c r="L98" s="34" t="s">
        <v>7038</v>
      </c>
      <c r="M98" s="35" t="s">
        <v>29</v>
      </c>
      <c r="N98" s="34" t="s">
        <v>5030</v>
      </c>
      <c r="O98" s="35" t="s">
        <v>816</v>
      </c>
      <c r="P98" s="35" t="s">
        <v>2710</v>
      </c>
    </row>
    <row r="99" spans="1:16" ht="13.2" customHeight="1" x14ac:dyDescent="0.25">
      <c r="A99" s="33">
        <v>97</v>
      </c>
      <c r="B99" s="34" t="s">
        <v>7536</v>
      </c>
      <c r="C99" s="35"/>
      <c r="D99" s="34" t="s">
        <v>7348</v>
      </c>
      <c r="E99" s="34" t="s">
        <v>7319</v>
      </c>
      <c r="F99" s="34" t="s">
        <v>7320</v>
      </c>
      <c r="G99" s="34" t="s">
        <v>7321</v>
      </c>
      <c r="H99" s="34" t="s">
        <v>7322</v>
      </c>
      <c r="I99" s="33" t="s">
        <v>96</v>
      </c>
      <c r="J99" s="34" t="s">
        <v>7537</v>
      </c>
      <c r="K99" s="35"/>
      <c r="L99" s="34" t="s">
        <v>7038</v>
      </c>
      <c r="M99" s="35" t="s">
        <v>29</v>
      </c>
      <c r="N99" s="34" t="s">
        <v>5035</v>
      </c>
      <c r="O99" s="35" t="s">
        <v>816</v>
      </c>
      <c r="P99" s="35" t="s">
        <v>2710</v>
      </c>
    </row>
    <row r="100" spans="1:16" ht="13.2" customHeight="1" x14ac:dyDescent="0.25">
      <c r="A100" s="33">
        <v>98</v>
      </c>
      <c r="B100" s="34" t="s">
        <v>7538</v>
      </c>
      <c r="C100" s="35"/>
      <c r="D100" s="34" t="s">
        <v>7321</v>
      </c>
      <c r="E100" s="34" t="s">
        <v>7322</v>
      </c>
      <c r="F100" s="34" t="s">
        <v>7326</v>
      </c>
      <c r="G100" s="34" t="s">
        <v>7012</v>
      </c>
      <c r="H100" s="34" t="s">
        <v>7013</v>
      </c>
      <c r="I100" s="33" t="s">
        <v>96</v>
      </c>
      <c r="J100" s="34" t="s">
        <v>7539</v>
      </c>
      <c r="K100" s="35"/>
      <c r="L100" s="34" t="s">
        <v>7038</v>
      </c>
      <c r="M100" s="35" t="s">
        <v>29</v>
      </c>
      <c r="N100" s="34" t="s">
        <v>3797</v>
      </c>
      <c r="O100" s="35" t="s">
        <v>816</v>
      </c>
      <c r="P100" s="35" t="s">
        <v>2710</v>
      </c>
    </row>
    <row r="101" spans="1:16" ht="13.2" customHeight="1" x14ac:dyDescent="0.25">
      <c r="A101" s="33">
        <v>99</v>
      </c>
      <c r="B101" s="34" t="s">
        <v>7540</v>
      </c>
      <c r="C101" s="35"/>
      <c r="D101" s="34" t="s">
        <v>7012</v>
      </c>
      <c r="E101" s="34" t="s">
        <v>7013</v>
      </c>
      <c r="F101" s="34" t="s">
        <v>7014</v>
      </c>
      <c r="G101" s="34" t="s">
        <v>3359</v>
      </c>
      <c r="H101" s="34" t="s">
        <v>7015</v>
      </c>
      <c r="I101" s="33" t="s">
        <v>96</v>
      </c>
      <c r="J101" s="34" t="s">
        <v>7541</v>
      </c>
      <c r="K101" s="35"/>
      <c r="L101" s="34" t="s">
        <v>7038</v>
      </c>
      <c r="M101" s="35" t="s">
        <v>29</v>
      </c>
      <c r="N101" s="34" t="s">
        <v>6202</v>
      </c>
      <c r="O101" s="35" t="s">
        <v>816</v>
      </c>
      <c r="P101" s="35" t="s">
        <v>2710</v>
      </c>
    </row>
    <row r="102" spans="1:16" ht="13.2" customHeight="1" x14ac:dyDescent="0.25">
      <c r="A102" s="33">
        <v>100</v>
      </c>
      <c r="B102" s="34" t="s">
        <v>7542</v>
      </c>
      <c r="C102" s="35"/>
      <c r="D102" s="34" t="s">
        <v>7543</v>
      </c>
      <c r="E102" s="34" t="s">
        <v>7544</v>
      </c>
      <c r="F102" s="34" t="s">
        <v>7545</v>
      </c>
      <c r="G102" s="34" t="s">
        <v>7546</v>
      </c>
      <c r="H102" s="34" t="s">
        <v>7547</v>
      </c>
      <c r="I102" s="33" t="s">
        <v>84</v>
      </c>
      <c r="J102" s="34" t="s">
        <v>7548</v>
      </c>
      <c r="K102" s="35"/>
      <c r="L102" s="34" t="s">
        <v>7038</v>
      </c>
      <c r="M102" s="35" t="s">
        <v>29</v>
      </c>
      <c r="N102" s="34" t="s">
        <v>3780</v>
      </c>
      <c r="O102" s="35" t="s">
        <v>816</v>
      </c>
      <c r="P102" s="35" t="s">
        <v>2710</v>
      </c>
    </row>
    <row r="103" spans="1:16" ht="13.2" customHeight="1" x14ac:dyDescent="0.25">
      <c r="A103" s="33">
        <v>101</v>
      </c>
      <c r="B103" s="34" t="s">
        <v>7549</v>
      </c>
      <c r="C103" s="35"/>
      <c r="D103" s="34" t="s">
        <v>7550</v>
      </c>
      <c r="E103" s="34" t="s">
        <v>7551</v>
      </c>
      <c r="F103" s="34" t="s">
        <v>7552</v>
      </c>
      <c r="G103" s="34" t="s">
        <v>7553</v>
      </c>
      <c r="H103" s="34" t="s">
        <v>7554</v>
      </c>
      <c r="I103" s="33" t="s">
        <v>84</v>
      </c>
      <c r="J103" s="34" t="s">
        <v>7555</v>
      </c>
      <c r="K103" s="35"/>
      <c r="L103" s="34" t="s">
        <v>7038</v>
      </c>
      <c r="M103" s="35" t="s">
        <v>29</v>
      </c>
      <c r="N103" s="34" t="s">
        <v>5035</v>
      </c>
      <c r="O103" s="35" t="s">
        <v>816</v>
      </c>
      <c r="P103" s="35" t="s">
        <v>2710</v>
      </c>
    </row>
    <row r="104" spans="1:16" ht="13.2" customHeight="1" x14ac:dyDescent="0.25">
      <c r="A104" s="33">
        <v>102</v>
      </c>
      <c r="B104" s="34" t="s">
        <v>7556</v>
      </c>
      <c r="C104" s="35"/>
      <c r="D104" s="34" t="s">
        <v>7321</v>
      </c>
      <c r="E104" s="34" t="s">
        <v>7322</v>
      </c>
      <c r="F104" s="34" t="s">
        <v>7326</v>
      </c>
      <c r="G104" s="34" t="s">
        <v>7012</v>
      </c>
      <c r="H104" s="34" t="s">
        <v>7013</v>
      </c>
      <c r="I104" s="33" t="s">
        <v>84</v>
      </c>
      <c r="J104" s="34" t="s">
        <v>7557</v>
      </c>
      <c r="K104" s="35"/>
      <c r="L104" s="34" t="s">
        <v>7038</v>
      </c>
      <c r="M104" s="35" t="s">
        <v>29</v>
      </c>
      <c r="N104" s="34" t="s">
        <v>3900</v>
      </c>
      <c r="O104" s="35" t="s">
        <v>816</v>
      </c>
      <c r="P104" s="35" t="s">
        <v>2711</v>
      </c>
    </row>
    <row r="105" spans="1:16" ht="13.2" customHeight="1" x14ac:dyDescent="0.25">
      <c r="A105" s="33">
        <v>103</v>
      </c>
      <c r="B105" s="34" t="s">
        <v>7558</v>
      </c>
      <c r="C105" s="35"/>
      <c r="D105" s="34" t="s">
        <v>7012</v>
      </c>
      <c r="E105" s="34" t="s">
        <v>7013</v>
      </c>
      <c r="F105" s="34" t="s">
        <v>7014</v>
      </c>
      <c r="G105" s="34" t="s">
        <v>3359</v>
      </c>
      <c r="H105" s="34" t="s">
        <v>7015</v>
      </c>
      <c r="I105" s="33" t="s">
        <v>113</v>
      </c>
      <c r="J105" s="34" t="s">
        <v>7559</v>
      </c>
      <c r="K105" s="35"/>
      <c r="L105" s="34" t="s">
        <v>7038</v>
      </c>
      <c r="M105" s="35" t="s">
        <v>29</v>
      </c>
      <c r="N105" s="34" t="s">
        <v>1669</v>
      </c>
      <c r="O105" s="35" t="s">
        <v>816</v>
      </c>
      <c r="P105" s="35" t="s">
        <v>2711</v>
      </c>
    </row>
    <row r="106" spans="1:16" ht="13.2" customHeight="1" x14ac:dyDescent="0.25">
      <c r="A106" s="33">
        <v>104</v>
      </c>
      <c r="B106" s="34" t="s">
        <v>7560</v>
      </c>
      <c r="C106" s="35"/>
      <c r="D106" s="34" t="s">
        <v>3359</v>
      </c>
      <c r="E106" s="34" t="s">
        <v>7015</v>
      </c>
      <c r="F106" s="34" t="s">
        <v>7347</v>
      </c>
      <c r="G106" s="34" t="s">
        <v>7348</v>
      </c>
      <c r="H106" s="34" t="s">
        <v>7319</v>
      </c>
      <c r="I106" s="33" t="s">
        <v>90</v>
      </c>
      <c r="J106" s="34" t="s">
        <v>7561</v>
      </c>
      <c r="K106" s="35"/>
      <c r="L106" s="34" t="s">
        <v>7038</v>
      </c>
      <c r="M106" s="35" t="s">
        <v>29</v>
      </c>
      <c r="N106" s="34" t="s">
        <v>1669</v>
      </c>
      <c r="O106" s="35" t="s">
        <v>816</v>
      </c>
      <c r="P106" s="35" t="s">
        <v>2711</v>
      </c>
    </row>
    <row r="107" spans="1:16" ht="13.2" customHeight="1" x14ac:dyDescent="0.25">
      <c r="A107" s="33">
        <v>105</v>
      </c>
      <c r="B107" s="34" t="s">
        <v>7562</v>
      </c>
      <c r="C107" s="35"/>
      <c r="D107" s="34" t="s">
        <v>7348</v>
      </c>
      <c r="E107" s="34" t="s">
        <v>7319</v>
      </c>
      <c r="F107" s="34" t="s">
        <v>7320</v>
      </c>
      <c r="G107" s="34" t="s">
        <v>7321</v>
      </c>
      <c r="H107" s="34" t="s">
        <v>7322</v>
      </c>
      <c r="I107" s="33" t="s">
        <v>84</v>
      </c>
      <c r="J107" s="34" t="s">
        <v>7563</v>
      </c>
      <c r="K107" s="35"/>
      <c r="L107" s="34" t="s">
        <v>7038</v>
      </c>
      <c r="M107" s="35" t="s">
        <v>29</v>
      </c>
      <c r="N107" s="34" t="s">
        <v>7564</v>
      </c>
      <c r="O107" s="35" t="s">
        <v>816</v>
      </c>
      <c r="P107" s="35" t="s">
        <v>2711</v>
      </c>
    </row>
    <row r="108" spans="1:16" ht="13.2" customHeight="1" x14ac:dyDescent="0.25">
      <c r="A108" s="33">
        <v>106</v>
      </c>
      <c r="B108" s="34" t="s">
        <v>7565</v>
      </c>
      <c r="C108" s="35"/>
      <c r="D108" s="34" t="s">
        <v>7321</v>
      </c>
      <c r="E108" s="34" t="s">
        <v>7322</v>
      </c>
      <c r="F108" s="34" t="s">
        <v>7326</v>
      </c>
      <c r="G108" s="34" t="s">
        <v>7012</v>
      </c>
      <c r="H108" s="34" t="s">
        <v>7013</v>
      </c>
      <c r="I108" s="33" t="s">
        <v>84</v>
      </c>
      <c r="J108" s="34" t="s">
        <v>7566</v>
      </c>
      <c r="K108" s="35"/>
      <c r="L108" s="34" t="s">
        <v>7038</v>
      </c>
      <c r="M108" s="35" t="s">
        <v>29</v>
      </c>
      <c r="N108" s="34" t="s">
        <v>3936</v>
      </c>
      <c r="O108" s="35" t="s">
        <v>816</v>
      </c>
      <c r="P108" s="35" t="s">
        <v>2711</v>
      </c>
    </row>
    <row r="109" spans="1:16" ht="13.2" customHeight="1" x14ac:dyDescent="0.25">
      <c r="A109" s="33">
        <v>107</v>
      </c>
      <c r="B109" s="34" t="s">
        <v>7567</v>
      </c>
      <c r="C109" s="35"/>
      <c r="D109" s="34" t="s">
        <v>7012</v>
      </c>
      <c r="E109" s="34" t="s">
        <v>7013</v>
      </c>
      <c r="F109" s="34" t="s">
        <v>7014</v>
      </c>
      <c r="G109" s="34" t="s">
        <v>3359</v>
      </c>
      <c r="H109" s="34" t="s">
        <v>7015</v>
      </c>
      <c r="I109" s="33" t="s">
        <v>84</v>
      </c>
      <c r="J109" s="34" t="s">
        <v>7568</v>
      </c>
      <c r="K109" s="35"/>
      <c r="L109" s="34" t="s">
        <v>7038</v>
      </c>
      <c r="M109" s="35" t="s">
        <v>29</v>
      </c>
      <c r="N109" s="34" t="s">
        <v>2655</v>
      </c>
      <c r="O109" s="35" t="s">
        <v>816</v>
      </c>
      <c r="P109" s="35" t="s">
        <v>2711</v>
      </c>
    </row>
    <row r="110" spans="1:16" ht="13.2" customHeight="1" x14ac:dyDescent="0.25">
      <c r="A110" s="33">
        <v>108</v>
      </c>
      <c r="B110" s="34" t="s">
        <v>7569</v>
      </c>
      <c r="C110" s="35"/>
      <c r="D110" s="34" t="s">
        <v>3359</v>
      </c>
      <c r="E110" s="34" t="s">
        <v>7015</v>
      </c>
      <c r="F110" s="34" t="s">
        <v>7347</v>
      </c>
      <c r="G110" s="34" t="s">
        <v>7348</v>
      </c>
      <c r="H110" s="34" t="s">
        <v>7319</v>
      </c>
      <c r="I110" s="33" t="s">
        <v>84</v>
      </c>
      <c r="J110" s="34" t="s">
        <v>7570</v>
      </c>
      <c r="K110" s="35"/>
      <c r="L110" s="34" t="s">
        <v>7038</v>
      </c>
      <c r="M110" s="35" t="s">
        <v>29</v>
      </c>
      <c r="N110" s="34" t="s">
        <v>3887</v>
      </c>
      <c r="O110" s="35" t="s">
        <v>816</v>
      </c>
      <c r="P110" s="35" t="s">
        <v>2711</v>
      </c>
    </row>
    <row r="111" spans="1:16" ht="13.2" customHeight="1" x14ac:dyDescent="0.25">
      <c r="A111" s="33">
        <v>109</v>
      </c>
      <c r="B111" s="34" t="s">
        <v>7571</v>
      </c>
      <c r="C111" s="35"/>
      <c r="D111" s="34" t="s">
        <v>7348</v>
      </c>
      <c r="E111" s="34" t="s">
        <v>7319</v>
      </c>
      <c r="F111" s="34" t="s">
        <v>7320</v>
      </c>
      <c r="G111" s="34" t="s">
        <v>7321</v>
      </c>
      <c r="H111" s="34" t="s">
        <v>7322</v>
      </c>
      <c r="I111" s="33" t="s">
        <v>84</v>
      </c>
      <c r="J111" s="34" t="s">
        <v>7572</v>
      </c>
      <c r="K111" s="35"/>
      <c r="L111" s="34" t="s">
        <v>7038</v>
      </c>
      <c r="M111" s="35" t="s">
        <v>29</v>
      </c>
      <c r="N111" s="34" t="s">
        <v>1669</v>
      </c>
      <c r="O111" s="35" t="s">
        <v>816</v>
      </c>
      <c r="P111" s="35" t="s">
        <v>2711</v>
      </c>
    </row>
    <row r="112" spans="1:16" ht="13.2" customHeight="1" x14ac:dyDescent="0.25">
      <c r="A112" s="33">
        <v>110</v>
      </c>
      <c r="B112" s="34" t="s">
        <v>7573</v>
      </c>
      <c r="C112" s="35"/>
      <c r="D112" s="34" t="s">
        <v>7321</v>
      </c>
      <c r="E112" s="34" t="s">
        <v>7322</v>
      </c>
      <c r="F112" s="34" t="s">
        <v>7326</v>
      </c>
      <c r="G112" s="34" t="s">
        <v>7012</v>
      </c>
      <c r="H112" s="34" t="s">
        <v>7013</v>
      </c>
      <c r="I112" s="33" t="s">
        <v>84</v>
      </c>
      <c r="J112" s="34" t="s">
        <v>7574</v>
      </c>
      <c r="K112" s="35"/>
      <c r="L112" s="34" t="s">
        <v>7038</v>
      </c>
      <c r="M112" s="35" t="s">
        <v>29</v>
      </c>
      <c r="N112" s="34" t="s">
        <v>7575</v>
      </c>
      <c r="O112" s="35" t="s">
        <v>816</v>
      </c>
      <c r="P112" s="35" t="s">
        <v>2711</v>
      </c>
    </row>
    <row r="113" spans="1:16" ht="13.2" customHeight="1" x14ac:dyDescent="0.25">
      <c r="A113" s="33">
        <v>111</v>
      </c>
      <c r="B113" s="34" t="s">
        <v>7576</v>
      </c>
      <c r="C113" s="35"/>
      <c r="D113" s="34" t="s">
        <v>7012</v>
      </c>
      <c r="E113" s="34" t="s">
        <v>7013</v>
      </c>
      <c r="F113" s="34" t="s">
        <v>7014</v>
      </c>
      <c r="G113" s="34" t="s">
        <v>3359</v>
      </c>
      <c r="H113" s="34" t="s">
        <v>7015</v>
      </c>
      <c r="I113" s="33" t="s">
        <v>84</v>
      </c>
      <c r="J113" s="34" t="s">
        <v>7577</v>
      </c>
      <c r="K113" s="35"/>
      <c r="L113" s="34" t="s">
        <v>7038</v>
      </c>
      <c r="M113" s="35" t="s">
        <v>29</v>
      </c>
      <c r="N113" s="34" t="s">
        <v>2655</v>
      </c>
      <c r="O113" s="35" t="s">
        <v>816</v>
      </c>
      <c r="P113" s="35" t="s">
        <v>2711</v>
      </c>
    </row>
    <row r="114" spans="1:16" ht="13.2" customHeight="1" x14ac:dyDescent="0.25">
      <c r="A114" s="33">
        <v>112</v>
      </c>
      <c r="B114" s="34" t="s">
        <v>7578</v>
      </c>
      <c r="C114" s="35"/>
      <c r="D114" s="34" t="s">
        <v>3359</v>
      </c>
      <c r="E114" s="34" t="s">
        <v>7015</v>
      </c>
      <c r="F114" s="34" t="s">
        <v>7347</v>
      </c>
      <c r="G114" s="34" t="s">
        <v>7348</v>
      </c>
      <c r="H114" s="34" t="s">
        <v>7319</v>
      </c>
      <c r="I114" s="33" t="s">
        <v>84</v>
      </c>
      <c r="J114" s="34" t="s">
        <v>7579</v>
      </c>
      <c r="K114" s="35"/>
      <c r="L114" s="34" t="s">
        <v>7038</v>
      </c>
      <c r="M114" s="35" t="s">
        <v>29</v>
      </c>
      <c r="N114" s="34" t="s">
        <v>3900</v>
      </c>
      <c r="O114" s="35" t="s">
        <v>816</v>
      </c>
      <c r="P114" s="35" t="s">
        <v>2711</v>
      </c>
    </row>
    <row r="115" spans="1:16" ht="13.2" customHeight="1" x14ac:dyDescent="0.25">
      <c r="A115" s="33">
        <v>113</v>
      </c>
      <c r="B115" s="34" t="s">
        <v>7580</v>
      </c>
      <c r="C115" s="35"/>
      <c r="D115" s="34" t="s">
        <v>7348</v>
      </c>
      <c r="E115" s="34" t="s">
        <v>7319</v>
      </c>
      <c r="F115" s="34" t="s">
        <v>7320</v>
      </c>
      <c r="G115" s="34" t="s">
        <v>7321</v>
      </c>
      <c r="H115" s="34" t="s">
        <v>7322</v>
      </c>
      <c r="I115" s="33" t="s">
        <v>84</v>
      </c>
      <c r="J115" s="34" t="s">
        <v>7581</v>
      </c>
      <c r="K115" s="35"/>
      <c r="L115" s="34" t="s">
        <v>7038</v>
      </c>
      <c r="M115" s="35" t="s">
        <v>29</v>
      </c>
      <c r="N115" s="34" t="s">
        <v>2655</v>
      </c>
      <c r="O115" s="35" t="s">
        <v>816</v>
      </c>
      <c r="P115" s="35" t="s">
        <v>2711</v>
      </c>
    </row>
    <row r="116" spans="1:16" ht="13.2" customHeight="1" x14ac:dyDescent="0.25">
      <c r="A116" s="33">
        <v>114</v>
      </c>
      <c r="B116" s="34" t="s">
        <v>7582</v>
      </c>
      <c r="C116" s="35"/>
      <c r="D116" s="34" t="s">
        <v>7321</v>
      </c>
      <c r="E116" s="34" t="s">
        <v>7322</v>
      </c>
      <c r="F116" s="34" t="s">
        <v>7326</v>
      </c>
      <c r="G116" s="34" t="s">
        <v>7012</v>
      </c>
      <c r="H116" s="34" t="s">
        <v>7013</v>
      </c>
      <c r="I116" s="33" t="s">
        <v>84</v>
      </c>
      <c r="J116" s="34" t="s">
        <v>7583</v>
      </c>
      <c r="K116" s="35"/>
      <c r="L116" s="34" t="s">
        <v>7038</v>
      </c>
      <c r="M116" s="35" t="s">
        <v>29</v>
      </c>
      <c r="N116" s="34" t="s">
        <v>3887</v>
      </c>
      <c r="O116" s="35" t="s">
        <v>816</v>
      </c>
      <c r="P116" s="35" t="s">
        <v>2711</v>
      </c>
    </row>
    <row r="117" spans="1:16" ht="13.2" customHeight="1" x14ac:dyDescent="0.25">
      <c r="A117" s="33">
        <v>115</v>
      </c>
      <c r="B117" s="34" t="s">
        <v>7584</v>
      </c>
      <c r="C117" s="35"/>
      <c r="D117" s="34" t="s">
        <v>7398</v>
      </c>
      <c r="E117" s="34" t="s">
        <v>7399</v>
      </c>
      <c r="F117" s="34" t="s">
        <v>7585</v>
      </c>
      <c r="G117" s="34" t="s">
        <v>7586</v>
      </c>
      <c r="H117" s="34" t="s">
        <v>7587</v>
      </c>
      <c r="I117" s="33" t="s">
        <v>84</v>
      </c>
      <c r="J117" s="34" t="s">
        <v>7588</v>
      </c>
      <c r="K117" s="35"/>
      <c r="L117" s="34" t="s">
        <v>7038</v>
      </c>
      <c r="M117" s="35" t="s">
        <v>29</v>
      </c>
      <c r="N117" s="34" t="s">
        <v>3900</v>
      </c>
      <c r="O117" s="35" t="s">
        <v>816</v>
      </c>
      <c r="P117" s="35" t="s">
        <v>2711</v>
      </c>
    </row>
    <row r="118" spans="1:16" ht="13.2" customHeight="1" x14ac:dyDescent="0.25">
      <c r="A118" s="33">
        <v>116</v>
      </c>
      <c r="B118" s="34" t="s">
        <v>7589</v>
      </c>
      <c r="C118" s="35"/>
      <c r="D118" s="34" t="s">
        <v>7590</v>
      </c>
      <c r="E118" s="34" t="s">
        <v>7591</v>
      </c>
      <c r="F118" s="34" t="s">
        <v>7592</v>
      </c>
      <c r="G118" s="34" t="s">
        <v>7593</v>
      </c>
      <c r="H118" s="34" t="s">
        <v>7594</v>
      </c>
      <c r="I118" s="33" t="s">
        <v>96</v>
      </c>
      <c r="J118" s="34" t="s">
        <v>7595</v>
      </c>
      <c r="K118" s="35"/>
      <c r="L118" s="34" t="s">
        <v>7038</v>
      </c>
      <c r="M118" s="35" t="s">
        <v>29</v>
      </c>
      <c r="N118" s="34" t="s">
        <v>4030</v>
      </c>
      <c r="O118" s="35" t="s">
        <v>816</v>
      </c>
      <c r="P118" s="35" t="s">
        <v>2711</v>
      </c>
    </row>
    <row r="119" spans="1:16" ht="13.2" customHeight="1" x14ac:dyDescent="0.25">
      <c r="A119" s="33">
        <v>117</v>
      </c>
      <c r="B119" s="34" t="s">
        <v>7596</v>
      </c>
      <c r="C119" s="35"/>
      <c r="D119" s="34" t="s">
        <v>7597</v>
      </c>
      <c r="E119" s="34" t="s">
        <v>7598</v>
      </c>
      <c r="F119" s="34" t="s">
        <v>7599</v>
      </c>
      <c r="G119" s="34" t="s">
        <v>7600</v>
      </c>
      <c r="H119" s="34" t="s">
        <v>7601</v>
      </c>
      <c r="I119" s="33" t="s">
        <v>84</v>
      </c>
      <c r="J119" s="34" t="s">
        <v>7602</v>
      </c>
      <c r="K119" s="35"/>
      <c r="L119" s="34" t="s">
        <v>7038</v>
      </c>
      <c r="M119" s="35" t="s">
        <v>29</v>
      </c>
      <c r="N119" s="34" t="s">
        <v>7564</v>
      </c>
      <c r="O119" s="35" t="s">
        <v>816</v>
      </c>
      <c r="P119" s="35" t="s">
        <v>2711</v>
      </c>
    </row>
    <row r="120" spans="1:16" ht="13.2" customHeight="1" x14ac:dyDescent="0.25">
      <c r="A120" s="33">
        <v>118</v>
      </c>
      <c r="B120" s="34" t="s">
        <v>7603</v>
      </c>
      <c r="C120" s="35"/>
      <c r="D120" s="34" t="s">
        <v>7604</v>
      </c>
      <c r="E120" s="34" t="s">
        <v>7605</v>
      </c>
      <c r="F120" s="34" t="s">
        <v>7606</v>
      </c>
      <c r="G120" s="34" t="s">
        <v>7607</v>
      </c>
      <c r="H120" s="34" t="s">
        <v>7608</v>
      </c>
      <c r="I120" s="33" t="s">
        <v>84</v>
      </c>
      <c r="J120" s="34" t="s">
        <v>7609</v>
      </c>
      <c r="K120" s="35"/>
      <c r="L120" s="34" t="s">
        <v>7038</v>
      </c>
      <c r="M120" s="35" t="s">
        <v>29</v>
      </c>
      <c r="N120" s="34" t="s">
        <v>5100</v>
      </c>
      <c r="O120" s="35" t="s">
        <v>816</v>
      </c>
      <c r="P120" s="35" t="s">
        <v>2711</v>
      </c>
    </row>
    <row r="121" spans="1:16" ht="13.2" x14ac:dyDescent="0.25">
      <c r="A121">
        <v>119</v>
      </c>
      <c r="B121" t="s">
        <v>7610</v>
      </c>
      <c r="D121" t="s">
        <v>3442</v>
      </c>
      <c r="E121" t="s">
        <v>3443</v>
      </c>
      <c r="F121" t="s">
        <v>3444</v>
      </c>
      <c r="G121" t="s">
        <v>7611</v>
      </c>
      <c r="H121" t="s">
        <v>7612</v>
      </c>
      <c r="I121" t="s">
        <v>96</v>
      </c>
      <c r="J121" t="s">
        <v>7613</v>
      </c>
      <c r="L121" t="s">
        <v>1645</v>
      </c>
      <c r="M121" t="s">
        <v>29</v>
      </c>
      <c r="N121" t="s">
        <v>3959</v>
      </c>
    </row>
  </sheetData>
  <mergeCells count="1">
    <mergeCell ref="A1:F1"/>
  </mergeCells>
  <pageMargins left="0.75" right="0.75" top="1" bottom="1" header="0.5" footer="0.5"/>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Q316"/>
  <sheetViews>
    <sheetView zoomScale="89" workbookViewId="0">
      <pane ySplit="2" topLeftCell="A3" activePane="bottomLeft" state="frozen"/>
      <selection pane="bottomLeft" activeCell="A3" sqref="A3:P316"/>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21.6" customHeight="1" x14ac:dyDescent="0.25">
      <c r="A3" s="37">
        <v>1</v>
      </c>
      <c r="B3" s="38" t="s">
        <v>7614</v>
      </c>
      <c r="C3" s="38"/>
      <c r="D3" s="38" t="s">
        <v>7615</v>
      </c>
      <c r="E3" s="38" t="s">
        <v>7616</v>
      </c>
      <c r="F3" s="38" t="s">
        <v>7617</v>
      </c>
      <c r="G3" s="38" t="s">
        <v>7618</v>
      </c>
      <c r="H3" s="38" t="s">
        <v>7619</v>
      </c>
      <c r="I3" s="37" t="s">
        <v>90</v>
      </c>
      <c r="J3" s="38" t="s">
        <v>7620</v>
      </c>
      <c r="K3" s="38"/>
      <c r="L3" s="39" t="s">
        <v>7621</v>
      </c>
      <c r="M3" s="39" t="s">
        <v>29</v>
      </c>
      <c r="N3" s="38" t="s">
        <v>7622</v>
      </c>
      <c r="O3" s="39"/>
      <c r="P3" s="40"/>
    </row>
    <row r="4" spans="1:16" ht="13.2" customHeight="1" x14ac:dyDescent="0.25">
      <c r="A4" s="37">
        <v>2</v>
      </c>
      <c r="B4" s="38" t="s">
        <v>7623</v>
      </c>
      <c r="C4" s="38"/>
      <c r="D4" s="38" t="s">
        <v>7624</v>
      </c>
      <c r="E4" s="38" t="s">
        <v>7625</v>
      </c>
      <c r="F4" s="38" t="s">
        <v>7626</v>
      </c>
      <c r="G4" s="38" t="s">
        <v>7627</v>
      </c>
      <c r="H4" s="38" t="s">
        <v>7628</v>
      </c>
      <c r="I4" s="37" t="s">
        <v>96</v>
      </c>
      <c r="J4" s="38" t="s">
        <v>7629</v>
      </c>
      <c r="K4" s="38"/>
      <c r="L4" s="39" t="s">
        <v>7630</v>
      </c>
      <c r="M4" s="39" t="s">
        <v>29</v>
      </c>
      <c r="N4" s="38" t="s">
        <v>7631</v>
      </c>
      <c r="O4" s="39"/>
      <c r="P4" s="39"/>
    </row>
    <row r="5" spans="1:16" ht="13.2" customHeight="1" x14ac:dyDescent="0.25">
      <c r="A5" s="37">
        <v>3</v>
      </c>
      <c r="B5" s="38" t="s">
        <v>7632</v>
      </c>
      <c r="C5" s="38"/>
      <c r="D5" s="38" t="s">
        <v>7633</v>
      </c>
      <c r="E5" s="38" t="s">
        <v>7634</v>
      </c>
      <c r="F5" s="38" t="s">
        <v>7635</v>
      </c>
      <c r="G5" s="38" t="s">
        <v>7636</v>
      </c>
      <c r="H5" s="38" t="s">
        <v>7637</v>
      </c>
      <c r="I5" s="37" t="s">
        <v>96</v>
      </c>
      <c r="J5" s="38" t="s">
        <v>7638</v>
      </c>
      <c r="K5" s="38"/>
      <c r="L5" s="39" t="s">
        <v>7630</v>
      </c>
      <c r="M5" s="39" t="s">
        <v>29</v>
      </c>
      <c r="N5" s="38" t="s">
        <v>7639</v>
      </c>
      <c r="O5" s="39"/>
      <c r="P5" s="39"/>
    </row>
    <row r="6" spans="1:16" ht="13.2" customHeight="1" x14ac:dyDescent="0.25">
      <c r="A6" s="37">
        <v>4</v>
      </c>
      <c r="B6" s="38" t="s">
        <v>7640</v>
      </c>
      <c r="C6" s="38"/>
      <c r="D6" s="38" t="s">
        <v>7641</v>
      </c>
      <c r="E6" s="38" t="s">
        <v>7642</v>
      </c>
      <c r="F6" s="38" t="s">
        <v>7643</v>
      </c>
      <c r="G6" s="38" t="s">
        <v>7644</v>
      </c>
      <c r="H6" s="38" t="s">
        <v>7645</v>
      </c>
      <c r="I6" s="37" t="s">
        <v>96</v>
      </c>
      <c r="J6" s="38" t="s">
        <v>7646</v>
      </c>
      <c r="K6" s="38"/>
      <c r="L6" s="39" t="s">
        <v>7630</v>
      </c>
      <c r="M6" s="39" t="s">
        <v>29</v>
      </c>
      <c r="N6" s="38" t="s">
        <v>7647</v>
      </c>
      <c r="O6" s="39"/>
      <c r="P6" s="39"/>
    </row>
    <row r="7" spans="1:16" ht="13.2" customHeight="1" x14ac:dyDescent="0.25">
      <c r="A7" s="37">
        <v>5</v>
      </c>
      <c r="B7" s="38" t="s">
        <v>7648</v>
      </c>
      <c r="C7" s="38"/>
      <c r="D7" s="38" t="s">
        <v>7649</v>
      </c>
      <c r="E7" s="38" t="s">
        <v>7650</v>
      </c>
      <c r="F7" s="38" t="s">
        <v>7651</v>
      </c>
      <c r="G7" s="38" t="s">
        <v>7652</v>
      </c>
      <c r="H7" s="38" t="s">
        <v>7653</v>
      </c>
      <c r="I7" s="37" t="s">
        <v>84</v>
      </c>
      <c r="J7" s="38" t="s">
        <v>7654</v>
      </c>
      <c r="K7" s="38"/>
      <c r="L7" s="39" t="s">
        <v>7630</v>
      </c>
      <c r="M7" s="39" t="s">
        <v>29</v>
      </c>
      <c r="N7" s="38" t="s">
        <v>7655</v>
      </c>
      <c r="O7" s="39"/>
      <c r="P7" s="39"/>
    </row>
    <row r="8" spans="1:16" ht="13.2" customHeight="1" x14ac:dyDescent="0.25">
      <c r="A8" s="37">
        <v>6</v>
      </c>
      <c r="B8" s="38" t="s">
        <v>7656</v>
      </c>
      <c r="C8" s="38"/>
      <c r="D8" s="38" t="s">
        <v>7657</v>
      </c>
      <c r="E8" s="38" t="s">
        <v>7658</v>
      </c>
      <c r="F8" s="38" t="s">
        <v>7659</v>
      </c>
      <c r="G8" s="38" t="s">
        <v>7660</v>
      </c>
      <c r="H8" s="38" t="s">
        <v>7661</v>
      </c>
      <c r="I8" s="37" t="s">
        <v>96</v>
      </c>
      <c r="J8" s="38" t="s">
        <v>7662</v>
      </c>
      <c r="K8" s="38"/>
      <c r="L8" s="39" t="s">
        <v>7630</v>
      </c>
      <c r="M8" s="39" t="s">
        <v>29</v>
      </c>
      <c r="N8" s="38" t="s">
        <v>7663</v>
      </c>
      <c r="O8" s="39"/>
      <c r="P8" s="39"/>
    </row>
    <row r="9" spans="1:16" ht="13.2" customHeight="1" x14ac:dyDescent="0.25">
      <c r="A9" s="37">
        <v>7</v>
      </c>
      <c r="B9" s="38" t="s">
        <v>7664</v>
      </c>
      <c r="C9" s="38"/>
      <c r="D9" s="38" t="s">
        <v>7665</v>
      </c>
      <c r="E9" s="38" t="s">
        <v>7666</v>
      </c>
      <c r="F9" s="38" t="s">
        <v>7667</v>
      </c>
      <c r="G9" s="38" t="s">
        <v>7668</v>
      </c>
      <c r="H9" s="38" t="s">
        <v>7669</v>
      </c>
      <c r="I9" s="37" t="s">
        <v>96</v>
      </c>
      <c r="J9" s="38" t="s">
        <v>7670</v>
      </c>
      <c r="K9" s="38"/>
      <c r="L9" s="39" t="s">
        <v>7671</v>
      </c>
      <c r="M9" s="39" t="s">
        <v>29</v>
      </c>
      <c r="N9" s="38" t="s">
        <v>7672</v>
      </c>
      <c r="O9" s="39"/>
      <c r="P9" s="39"/>
    </row>
    <row r="10" spans="1:16" ht="13.2" customHeight="1" x14ac:dyDescent="0.25">
      <c r="A10" s="37">
        <v>8</v>
      </c>
      <c r="B10" s="38" t="s">
        <v>7673</v>
      </c>
      <c r="C10" s="38"/>
      <c r="D10" s="38" t="s">
        <v>7674</v>
      </c>
      <c r="E10" s="38" t="s">
        <v>7675</v>
      </c>
      <c r="F10" s="38" t="s">
        <v>7676</v>
      </c>
      <c r="G10" s="38" t="s">
        <v>7677</v>
      </c>
      <c r="H10" s="38" t="s">
        <v>7678</v>
      </c>
      <c r="I10" s="37" t="s">
        <v>90</v>
      </c>
      <c r="J10" s="38" t="s">
        <v>7679</v>
      </c>
      <c r="K10" s="38"/>
      <c r="L10" s="39" t="s">
        <v>7671</v>
      </c>
      <c r="M10" s="39" t="s">
        <v>29</v>
      </c>
      <c r="N10" s="38" t="s">
        <v>7680</v>
      </c>
      <c r="O10" s="39"/>
      <c r="P10" s="39"/>
    </row>
    <row r="11" spans="1:16" ht="13.2" customHeight="1" x14ac:dyDescent="0.25">
      <c r="A11" s="37">
        <v>9</v>
      </c>
      <c r="B11" s="38" t="s">
        <v>7681</v>
      </c>
      <c r="C11" s="38"/>
      <c r="D11" s="38" t="s">
        <v>7682</v>
      </c>
      <c r="E11" s="38" t="s">
        <v>7683</v>
      </c>
      <c r="F11" s="38" t="s">
        <v>7684</v>
      </c>
      <c r="G11" s="38" t="s">
        <v>7685</v>
      </c>
      <c r="H11" s="38" t="s">
        <v>7686</v>
      </c>
      <c r="I11" s="37" t="s">
        <v>96</v>
      </c>
      <c r="J11" s="38" t="s">
        <v>7687</v>
      </c>
      <c r="K11" s="38"/>
      <c r="L11" s="39" t="s">
        <v>7621</v>
      </c>
      <c r="M11" s="39" t="s">
        <v>29</v>
      </c>
      <c r="N11" s="38" t="s">
        <v>7688</v>
      </c>
      <c r="O11" s="39"/>
      <c r="P11" s="39"/>
    </row>
    <row r="12" spans="1:16" ht="13.2" customHeight="1" x14ac:dyDescent="0.25">
      <c r="A12" s="37">
        <v>10</v>
      </c>
      <c r="B12" s="38" t="s">
        <v>7689</v>
      </c>
      <c r="C12" s="38"/>
      <c r="D12" s="38" t="s">
        <v>7690</v>
      </c>
      <c r="E12" s="38" t="s">
        <v>7691</v>
      </c>
      <c r="F12" s="38" t="s">
        <v>7692</v>
      </c>
      <c r="G12" s="38" t="s">
        <v>7693</v>
      </c>
      <c r="H12" s="38" t="s">
        <v>7694</v>
      </c>
      <c r="I12" s="37" t="s">
        <v>84</v>
      </c>
      <c r="J12" s="38" t="s">
        <v>7695</v>
      </c>
      <c r="K12" s="38"/>
      <c r="L12" s="39" t="s">
        <v>7671</v>
      </c>
      <c r="M12" s="39" t="s">
        <v>29</v>
      </c>
      <c r="N12" s="38" t="s">
        <v>7696</v>
      </c>
      <c r="O12" s="39"/>
      <c r="P12" s="39"/>
    </row>
    <row r="13" spans="1:16" ht="13.2" customHeight="1" x14ac:dyDescent="0.25">
      <c r="A13" s="37">
        <v>11</v>
      </c>
      <c r="B13" s="38" t="s">
        <v>7697</v>
      </c>
      <c r="C13" s="38"/>
      <c r="D13" s="38" t="s">
        <v>7698</v>
      </c>
      <c r="E13" s="38" t="s">
        <v>7699</v>
      </c>
      <c r="F13" s="38" t="s">
        <v>7700</v>
      </c>
      <c r="G13" s="38" t="s">
        <v>7701</v>
      </c>
      <c r="H13" s="38" t="s">
        <v>7702</v>
      </c>
      <c r="I13" s="37" t="s">
        <v>84</v>
      </c>
      <c r="J13" s="38" t="s">
        <v>7703</v>
      </c>
      <c r="K13" s="38"/>
      <c r="L13" s="39" t="s">
        <v>7621</v>
      </c>
      <c r="M13" s="39" t="s">
        <v>29</v>
      </c>
      <c r="N13" s="38" t="s">
        <v>7704</v>
      </c>
      <c r="O13" s="39"/>
      <c r="P13" s="39"/>
    </row>
    <row r="14" spans="1:16" ht="13.2" customHeight="1" x14ac:dyDescent="0.25">
      <c r="A14" s="37">
        <v>12</v>
      </c>
      <c r="B14" s="38" t="s">
        <v>7705</v>
      </c>
      <c r="C14" s="38"/>
      <c r="D14" s="38" t="s">
        <v>7706</v>
      </c>
      <c r="E14" s="38" t="s">
        <v>7707</v>
      </c>
      <c r="F14" s="38" t="s">
        <v>7708</v>
      </c>
      <c r="G14" s="38" t="s">
        <v>7709</v>
      </c>
      <c r="H14" s="38" t="s">
        <v>7710</v>
      </c>
      <c r="I14" s="37" t="s">
        <v>90</v>
      </c>
      <c r="J14" s="38" t="s">
        <v>7711</v>
      </c>
      <c r="K14" s="38"/>
      <c r="L14" s="39" t="s">
        <v>7671</v>
      </c>
      <c r="M14" s="39" t="s">
        <v>29</v>
      </c>
      <c r="N14" s="38" t="s">
        <v>7712</v>
      </c>
      <c r="O14" s="39"/>
      <c r="P14" s="39"/>
    </row>
    <row r="15" spans="1:16" ht="13.2" customHeight="1" x14ac:dyDescent="0.25">
      <c r="A15" s="37">
        <v>13</v>
      </c>
      <c r="B15" s="38" t="s">
        <v>7713</v>
      </c>
      <c r="C15" s="38"/>
      <c r="D15" s="38" t="s">
        <v>7714</v>
      </c>
      <c r="E15" s="38" t="s">
        <v>7715</v>
      </c>
      <c r="F15" s="38" t="s">
        <v>7716</v>
      </c>
      <c r="G15" s="38" t="s">
        <v>7717</v>
      </c>
      <c r="H15" s="38" t="s">
        <v>7718</v>
      </c>
      <c r="I15" s="37" t="s">
        <v>84</v>
      </c>
      <c r="J15" s="38" t="s">
        <v>7719</v>
      </c>
      <c r="K15" s="38"/>
      <c r="L15" s="39" t="s">
        <v>516</v>
      </c>
      <c r="M15" s="39" t="s">
        <v>29</v>
      </c>
      <c r="N15" s="38" t="s">
        <v>7720</v>
      </c>
      <c r="O15" s="39"/>
      <c r="P15" s="39"/>
    </row>
    <row r="16" spans="1:16" ht="13.2" customHeight="1" x14ac:dyDescent="0.25">
      <c r="A16" s="37">
        <v>14</v>
      </c>
      <c r="B16" s="38" t="s">
        <v>7721</v>
      </c>
      <c r="C16" s="38"/>
      <c r="D16" s="38" t="s">
        <v>7722</v>
      </c>
      <c r="E16" s="38" t="s">
        <v>7723</v>
      </c>
      <c r="F16" s="38" t="s">
        <v>7724</v>
      </c>
      <c r="G16" s="38" t="s">
        <v>7725</v>
      </c>
      <c r="H16" s="38" t="s">
        <v>7726</v>
      </c>
      <c r="I16" s="37" t="s">
        <v>96</v>
      </c>
      <c r="J16" s="38" t="s">
        <v>7727</v>
      </c>
      <c r="K16" s="38"/>
      <c r="L16" s="39" t="s">
        <v>516</v>
      </c>
      <c r="M16" s="39" t="s">
        <v>29</v>
      </c>
      <c r="N16" s="38" t="s">
        <v>7728</v>
      </c>
      <c r="O16" s="39"/>
      <c r="P16" s="39"/>
    </row>
    <row r="17" spans="1:16" ht="13.2" customHeight="1" x14ac:dyDescent="0.25">
      <c r="A17" s="37">
        <v>15</v>
      </c>
      <c r="B17" s="38" t="s">
        <v>7729</v>
      </c>
      <c r="C17" s="38"/>
      <c r="D17" s="38" t="s">
        <v>7730</v>
      </c>
      <c r="E17" s="38" t="s">
        <v>7731</v>
      </c>
      <c r="F17" s="38" t="s">
        <v>7732</v>
      </c>
      <c r="G17" s="38" t="s">
        <v>7733</v>
      </c>
      <c r="H17" s="38" t="s">
        <v>7734</v>
      </c>
      <c r="I17" s="37" t="s">
        <v>96</v>
      </c>
      <c r="J17" s="38" t="s">
        <v>7735</v>
      </c>
      <c r="K17" s="38"/>
      <c r="L17" s="39" t="s">
        <v>516</v>
      </c>
      <c r="M17" s="39" t="s">
        <v>29</v>
      </c>
      <c r="N17" s="38" t="s">
        <v>7736</v>
      </c>
      <c r="O17" s="39"/>
      <c r="P17" s="39"/>
    </row>
    <row r="18" spans="1:16" ht="13.2" customHeight="1" x14ac:dyDescent="0.25">
      <c r="A18" s="37">
        <v>16</v>
      </c>
      <c r="B18" s="38" t="s">
        <v>7737</v>
      </c>
      <c r="C18" s="38"/>
      <c r="D18" s="38" t="s">
        <v>7738</v>
      </c>
      <c r="E18" s="38" t="s">
        <v>7739</v>
      </c>
      <c r="F18" s="38" t="s">
        <v>7740</v>
      </c>
      <c r="G18" s="38" t="s">
        <v>7741</v>
      </c>
      <c r="H18" s="38" t="s">
        <v>7742</v>
      </c>
      <c r="I18" s="37" t="s">
        <v>90</v>
      </c>
      <c r="J18" s="38" t="s">
        <v>7743</v>
      </c>
      <c r="K18" s="38"/>
      <c r="L18" s="39" t="s">
        <v>516</v>
      </c>
      <c r="M18" s="39" t="s">
        <v>29</v>
      </c>
      <c r="N18" s="38" t="s">
        <v>7744</v>
      </c>
      <c r="O18" s="39"/>
      <c r="P18" s="39"/>
    </row>
    <row r="19" spans="1:16" ht="13.2" customHeight="1" x14ac:dyDescent="0.25">
      <c r="A19" s="37">
        <v>17</v>
      </c>
      <c r="B19" s="38" t="s">
        <v>7745</v>
      </c>
      <c r="C19" s="38"/>
      <c r="D19" s="38" t="s">
        <v>7746</v>
      </c>
      <c r="E19" s="38" t="s">
        <v>7747</v>
      </c>
      <c r="F19" s="38" t="s">
        <v>7748</v>
      </c>
      <c r="G19" s="38" t="s">
        <v>7749</v>
      </c>
      <c r="H19" s="38" t="s">
        <v>7750</v>
      </c>
      <c r="I19" s="37" t="s">
        <v>96</v>
      </c>
      <c r="J19" s="38" t="s">
        <v>7751</v>
      </c>
      <c r="K19" s="38"/>
      <c r="L19" s="39" t="s">
        <v>516</v>
      </c>
      <c r="M19" s="39" t="s">
        <v>29</v>
      </c>
      <c r="N19" s="38" t="s">
        <v>7752</v>
      </c>
      <c r="O19" s="39"/>
      <c r="P19" s="39"/>
    </row>
    <row r="20" spans="1:16" ht="13.2" customHeight="1" x14ac:dyDescent="0.25">
      <c r="A20" s="37">
        <v>18</v>
      </c>
      <c r="B20" s="38" t="s">
        <v>7753</v>
      </c>
      <c r="C20" s="38"/>
      <c r="D20" s="38" t="s">
        <v>7754</v>
      </c>
      <c r="E20" s="38" t="s">
        <v>7755</v>
      </c>
      <c r="F20" s="38" t="s">
        <v>7756</v>
      </c>
      <c r="G20" s="38" t="s">
        <v>7757</v>
      </c>
      <c r="H20" s="38" t="s">
        <v>7758</v>
      </c>
      <c r="I20" s="37" t="s">
        <v>96</v>
      </c>
      <c r="J20" s="38" t="s">
        <v>7759</v>
      </c>
      <c r="K20" s="38"/>
      <c r="L20" s="39" t="s">
        <v>516</v>
      </c>
      <c r="M20" s="39" t="s">
        <v>29</v>
      </c>
      <c r="N20" s="38" t="s">
        <v>7760</v>
      </c>
      <c r="O20" s="39"/>
      <c r="P20" s="39"/>
    </row>
    <row r="21" spans="1:16" ht="13.2" customHeight="1" x14ac:dyDescent="0.25">
      <c r="A21" s="37">
        <v>19</v>
      </c>
      <c r="B21" s="38" t="s">
        <v>7761</v>
      </c>
      <c r="C21" s="38"/>
      <c r="D21" s="38" t="s">
        <v>7762</v>
      </c>
      <c r="E21" s="38" t="s">
        <v>7763</v>
      </c>
      <c r="F21" s="38" t="s">
        <v>7764</v>
      </c>
      <c r="G21" s="38" t="s">
        <v>7765</v>
      </c>
      <c r="H21" s="38" t="s">
        <v>7766</v>
      </c>
      <c r="I21" s="37" t="s">
        <v>90</v>
      </c>
      <c r="J21" s="38" t="s">
        <v>7767</v>
      </c>
      <c r="K21" s="38"/>
      <c r="L21" s="39" t="s">
        <v>7621</v>
      </c>
      <c r="M21" s="39" t="s">
        <v>29</v>
      </c>
      <c r="N21" s="38" t="s">
        <v>7768</v>
      </c>
      <c r="O21" s="39"/>
      <c r="P21" s="39"/>
    </row>
    <row r="22" spans="1:16" ht="13.2" customHeight="1" x14ac:dyDescent="0.25">
      <c r="A22" s="37">
        <v>20</v>
      </c>
      <c r="B22" s="38" t="s">
        <v>7769</v>
      </c>
      <c r="C22" s="38"/>
      <c r="D22" s="38" t="s">
        <v>7770</v>
      </c>
      <c r="E22" s="38" t="s">
        <v>7771</v>
      </c>
      <c r="F22" s="38" t="s">
        <v>7772</v>
      </c>
      <c r="G22" s="38" t="s">
        <v>7773</v>
      </c>
      <c r="H22" s="38" t="s">
        <v>7774</v>
      </c>
      <c r="I22" s="37" t="s">
        <v>96</v>
      </c>
      <c r="J22" s="38" t="s">
        <v>7775</v>
      </c>
      <c r="K22" s="38"/>
      <c r="L22" s="39" t="s">
        <v>7621</v>
      </c>
      <c r="M22" s="39" t="s">
        <v>29</v>
      </c>
      <c r="N22" s="38" t="s">
        <v>7776</v>
      </c>
      <c r="O22" s="39"/>
      <c r="P22" s="39"/>
    </row>
    <row r="23" spans="1:16" ht="13.2" customHeight="1" x14ac:dyDescent="0.25">
      <c r="A23" s="37">
        <v>21</v>
      </c>
      <c r="B23" s="38" t="s">
        <v>7777</v>
      </c>
      <c r="C23" s="38"/>
      <c r="D23" s="38" t="s">
        <v>7778</v>
      </c>
      <c r="E23" s="38" t="s">
        <v>7779</v>
      </c>
      <c r="F23" s="38" t="s">
        <v>7780</v>
      </c>
      <c r="G23" s="38" t="s">
        <v>7781</v>
      </c>
      <c r="H23" s="38" t="s">
        <v>7782</v>
      </c>
      <c r="I23" s="37" t="s">
        <v>96</v>
      </c>
      <c r="J23" s="38" t="s">
        <v>7783</v>
      </c>
      <c r="K23" s="38"/>
      <c r="L23" s="39" t="s">
        <v>7621</v>
      </c>
      <c r="M23" s="39" t="s">
        <v>29</v>
      </c>
      <c r="N23" s="38" t="s">
        <v>7784</v>
      </c>
      <c r="O23" s="39"/>
      <c r="P23" s="39"/>
    </row>
    <row r="24" spans="1:16" ht="13.2" customHeight="1" x14ac:dyDescent="0.25">
      <c r="A24" s="37">
        <v>22</v>
      </c>
      <c r="B24" s="38" t="s">
        <v>7785</v>
      </c>
      <c r="C24" s="38"/>
      <c r="D24" s="38" t="s">
        <v>7786</v>
      </c>
      <c r="E24" s="38" t="s">
        <v>7787</v>
      </c>
      <c r="F24" s="38" t="s">
        <v>7788</v>
      </c>
      <c r="G24" s="38" t="s">
        <v>7789</v>
      </c>
      <c r="H24" s="38" t="s">
        <v>7790</v>
      </c>
      <c r="I24" s="37" t="s">
        <v>84</v>
      </c>
      <c r="J24" s="38" t="s">
        <v>7791</v>
      </c>
      <c r="K24" s="38"/>
      <c r="L24" s="39" t="s">
        <v>516</v>
      </c>
      <c r="M24" s="39" t="s">
        <v>29</v>
      </c>
      <c r="N24" s="38" t="s">
        <v>7792</v>
      </c>
      <c r="O24" s="39"/>
      <c r="P24" s="39"/>
    </row>
    <row r="25" spans="1:16" ht="13.2" customHeight="1" x14ac:dyDescent="0.25">
      <c r="A25" s="37">
        <v>23</v>
      </c>
      <c r="B25" s="38" t="s">
        <v>7793</v>
      </c>
      <c r="C25" s="38"/>
      <c r="D25" s="38" t="s">
        <v>7794</v>
      </c>
      <c r="E25" s="38" t="s">
        <v>7795</v>
      </c>
      <c r="F25" s="38" t="s">
        <v>7796</v>
      </c>
      <c r="G25" s="38" t="s">
        <v>7797</v>
      </c>
      <c r="H25" s="38" t="s">
        <v>7798</v>
      </c>
      <c r="I25" s="37" t="s">
        <v>96</v>
      </c>
      <c r="J25" s="38" t="s">
        <v>7799</v>
      </c>
      <c r="K25" s="38"/>
      <c r="L25" s="39" t="s">
        <v>7621</v>
      </c>
      <c r="M25" s="39" t="s">
        <v>29</v>
      </c>
      <c r="N25" s="38" t="s">
        <v>7800</v>
      </c>
      <c r="O25" s="39"/>
      <c r="P25" s="39"/>
    </row>
    <row r="26" spans="1:16" ht="13.2" customHeight="1" x14ac:dyDescent="0.25">
      <c r="A26" s="37">
        <v>24</v>
      </c>
      <c r="B26" s="38" t="s">
        <v>7801</v>
      </c>
      <c r="C26" s="38"/>
      <c r="D26" s="38" t="s">
        <v>7802</v>
      </c>
      <c r="E26" s="38" t="s">
        <v>7803</v>
      </c>
      <c r="F26" s="38" t="s">
        <v>7804</v>
      </c>
      <c r="G26" s="38" t="s">
        <v>7805</v>
      </c>
      <c r="H26" s="38" t="s">
        <v>7806</v>
      </c>
      <c r="I26" s="37" t="s">
        <v>96</v>
      </c>
      <c r="J26" s="38" t="s">
        <v>7807</v>
      </c>
      <c r="K26" s="38"/>
      <c r="L26" s="39" t="s">
        <v>7621</v>
      </c>
      <c r="M26" s="39" t="s">
        <v>29</v>
      </c>
      <c r="N26" s="38" t="s">
        <v>7808</v>
      </c>
      <c r="O26" s="39"/>
      <c r="P26" s="39"/>
    </row>
    <row r="27" spans="1:16" ht="13.2" customHeight="1" x14ac:dyDescent="0.25">
      <c r="A27" s="37">
        <v>25</v>
      </c>
      <c r="B27" s="38" t="s">
        <v>7809</v>
      </c>
      <c r="C27" s="38"/>
      <c r="D27" s="38" t="s">
        <v>7810</v>
      </c>
      <c r="E27" s="38" t="s">
        <v>7811</v>
      </c>
      <c r="F27" s="38" t="s">
        <v>7812</v>
      </c>
      <c r="G27" s="38" t="s">
        <v>7813</v>
      </c>
      <c r="H27" s="38" t="s">
        <v>7814</v>
      </c>
      <c r="I27" s="37" t="s">
        <v>96</v>
      </c>
      <c r="J27" s="38" t="s">
        <v>7815</v>
      </c>
      <c r="K27" s="38"/>
      <c r="L27" s="39" t="s">
        <v>7621</v>
      </c>
      <c r="M27" s="39" t="s">
        <v>29</v>
      </c>
      <c r="N27" s="38" t="s">
        <v>7816</v>
      </c>
      <c r="O27" s="39"/>
      <c r="P27" s="39"/>
    </row>
    <row r="28" spans="1:16" ht="13.2" customHeight="1" x14ac:dyDescent="0.25">
      <c r="A28" s="37">
        <v>26</v>
      </c>
      <c r="B28" s="38" t="s">
        <v>7817</v>
      </c>
      <c r="C28" s="38"/>
      <c r="D28" s="38" t="s">
        <v>7818</v>
      </c>
      <c r="E28" s="38" t="s">
        <v>7819</v>
      </c>
      <c r="F28" s="38" t="s">
        <v>7820</v>
      </c>
      <c r="G28" s="38" t="s">
        <v>7821</v>
      </c>
      <c r="H28" s="38" t="s">
        <v>7822</v>
      </c>
      <c r="I28" s="37" t="s">
        <v>90</v>
      </c>
      <c r="J28" s="38" t="s">
        <v>7823</v>
      </c>
      <c r="K28" s="38"/>
      <c r="L28" s="39" t="s">
        <v>7621</v>
      </c>
      <c r="M28" s="39" t="s">
        <v>29</v>
      </c>
      <c r="N28" s="38" t="s">
        <v>7824</v>
      </c>
      <c r="O28" s="39"/>
      <c r="P28" s="39"/>
    </row>
    <row r="29" spans="1:16" ht="13.2" customHeight="1" x14ac:dyDescent="0.25">
      <c r="A29" s="37">
        <v>27</v>
      </c>
      <c r="B29" s="38" t="s">
        <v>7825</v>
      </c>
      <c r="C29" s="38"/>
      <c r="D29" s="38" t="s">
        <v>7826</v>
      </c>
      <c r="E29" s="38" t="s">
        <v>7827</v>
      </c>
      <c r="F29" s="38" t="s">
        <v>7828</v>
      </c>
      <c r="G29" s="38" t="s">
        <v>7829</v>
      </c>
      <c r="H29" s="38" t="s">
        <v>7830</v>
      </c>
      <c r="I29" s="37" t="s">
        <v>90</v>
      </c>
      <c r="J29" s="38" t="s">
        <v>7831</v>
      </c>
      <c r="K29" s="38"/>
      <c r="L29" s="39" t="s">
        <v>7621</v>
      </c>
      <c r="M29" s="39" t="s">
        <v>29</v>
      </c>
      <c r="N29" s="38" t="s">
        <v>7832</v>
      </c>
      <c r="O29" s="39"/>
      <c r="P29" s="39"/>
    </row>
    <row r="30" spans="1:16" ht="13.2" customHeight="1" x14ac:dyDescent="0.25">
      <c r="A30" s="37">
        <v>28</v>
      </c>
      <c r="B30" s="38" t="s">
        <v>7833</v>
      </c>
      <c r="C30" s="38"/>
      <c r="D30" s="38" t="s">
        <v>7834</v>
      </c>
      <c r="E30" s="38" t="s">
        <v>7835</v>
      </c>
      <c r="F30" s="38" t="s">
        <v>7836</v>
      </c>
      <c r="G30" s="38" t="s">
        <v>7837</v>
      </c>
      <c r="H30" s="38" t="s">
        <v>7838</v>
      </c>
      <c r="I30" s="37" t="s">
        <v>113</v>
      </c>
      <c r="J30" s="38" t="s">
        <v>7839</v>
      </c>
      <c r="K30" s="38"/>
      <c r="L30" s="39" t="s">
        <v>7621</v>
      </c>
      <c r="M30" s="39" t="s">
        <v>29</v>
      </c>
      <c r="N30" s="38" t="s">
        <v>7840</v>
      </c>
      <c r="O30" s="39"/>
      <c r="P30" s="39"/>
    </row>
    <row r="31" spans="1:16" ht="13.2" customHeight="1" x14ac:dyDescent="0.25">
      <c r="A31" s="37">
        <v>29</v>
      </c>
      <c r="B31" s="38" t="s">
        <v>7841</v>
      </c>
      <c r="C31" s="38"/>
      <c r="D31" s="38" t="s">
        <v>7842</v>
      </c>
      <c r="E31" s="38" t="s">
        <v>7843</v>
      </c>
      <c r="F31" s="38" t="s">
        <v>7844</v>
      </c>
      <c r="G31" s="38" t="s">
        <v>7845</v>
      </c>
      <c r="H31" s="38" t="s">
        <v>7846</v>
      </c>
      <c r="I31" s="37" t="s">
        <v>96</v>
      </c>
      <c r="J31" s="38" t="s">
        <v>7847</v>
      </c>
      <c r="K31" s="38"/>
      <c r="L31" s="39" t="s">
        <v>7621</v>
      </c>
      <c r="M31" s="39" t="s">
        <v>29</v>
      </c>
      <c r="N31" s="38" t="s">
        <v>7848</v>
      </c>
      <c r="O31" s="39"/>
      <c r="P31" s="39"/>
    </row>
    <row r="32" spans="1:16" ht="13.2" customHeight="1" x14ac:dyDescent="0.25">
      <c r="A32" s="37">
        <v>30</v>
      </c>
      <c r="B32" s="38" t="s">
        <v>7849</v>
      </c>
      <c r="C32" s="38"/>
      <c r="D32" s="38" t="s">
        <v>7850</v>
      </c>
      <c r="E32" s="38" t="s">
        <v>7851</v>
      </c>
      <c r="F32" s="38" t="s">
        <v>7852</v>
      </c>
      <c r="G32" s="38" t="s">
        <v>7853</v>
      </c>
      <c r="H32" s="38" t="s">
        <v>7854</v>
      </c>
      <c r="I32" s="37" t="s">
        <v>96</v>
      </c>
      <c r="J32" s="38" t="s">
        <v>7855</v>
      </c>
      <c r="K32" s="38"/>
      <c r="L32" s="39" t="s">
        <v>7856</v>
      </c>
      <c r="M32" s="39" t="s">
        <v>29</v>
      </c>
      <c r="N32" s="38" t="s">
        <v>7857</v>
      </c>
      <c r="O32" s="39"/>
      <c r="P32" s="39"/>
    </row>
    <row r="33" spans="1:16" ht="13.2" customHeight="1" x14ac:dyDescent="0.25">
      <c r="A33" s="37">
        <v>31</v>
      </c>
      <c r="B33" s="38" t="s">
        <v>7858</v>
      </c>
      <c r="C33" s="38"/>
      <c r="D33" s="38" t="s">
        <v>7859</v>
      </c>
      <c r="E33" s="38" t="s">
        <v>7860</v>
      </c>
      <c r="F33" s="38" t="s">
        <v>7861</v>
      </c>
      <c r="G33" s="38" t="s">
        <v>7862</v>
      </c>
      <c r="H33" s="38" t="s">
        <v>7863</v>
      </c>
      <c r="I33" s="37" t="s">
        <v>90</v>
      </c>
      <c r="J33" s="38" t="s">
        <v>7864</v>
      </c>
      <c r="K33" s="38"/>
      <c r="L33" s="39" t="s">
        <v>7856</v>
      </c>
      <c r="M33" s="39" t="s">
        <v>29</v>
      </c>
      <c r="N33" s="38" t="s">
        <v>7865</v>
      </c>
      <c r="O33" s="39"/>
      <c r="P33" s="39"/>
    </row>
    <row r="34" spans="1:16" ht="13.2" customHeight="1" x14ac:dyDescent="0.25">
      <c r="A34" s="37">
        <v>32</v>
      </c>
      <c r="B34" s="38" t="s">
        <v>7866</v>
      </c>
      <c r="C34" s="38"/>
      <c r="D34" s="38" t="s">
        <v>7867</v>
      </c>
      <c r="E34" s="38" t="s">
        <v>7868</v>
      </c>
      <c r="F34" s="38" t="s">
        <v>7869</v>
      </c>
      <c r="G34" s="38" t="s">
        <v>7870</v>
      </c>
      <c r="H34" s="38" t="s">
        <v>7871</v>
      </c>
      <c r="I34" s="37" t="s">
        <v>84</v>
      </c>
      <c r="J34" s="38" t="s">
        <v>7872</v>
      </c>
      <c r="K34" s="38"/>
      <c r="L34" s="39" t="s">
        <v>7856</v>
      </c>
      <c r="M34" s="39" t="s">
        <v>29</v>
      </c>
      <c r="N34" s="38" t="s">
        <v>7873</v>
      </c>
      <c r="O34" s="39"/>
      <c r="P34" s="39"/>
    </row>
    <row r="35" spans="1:16" ht="13.2" customHeight="1" x14ac:dyDescent="0.25">
      <c r="A35" s="37">
        <v>33</v>
      </c>
      <c r="B35" s="38" t="s">
        <v>7874</v>
      </c>
      <c r="C35" s="38"/>
      <c r="D35" s="38" t="s">
        <v>7875</v>
      </c>
      <c r="E35" s="38" t="s">
        <v>7876</v>
      </c>
      <c r="F35" s="38" t="s">
        <v>7877</v>
      </c>
      <c r="G35" s="38" t="s">
        <v>7878</v>
      </c>
      <c r="H35" s="38" t="s">
        <v>7879</v>
      </c>
      <c r="I35" s="37" t="s">
        <v>84</v>
      </c>
      <c r="J35" s="38" t="s">
        <v>7880</v>
      </c>
      <c r="K35" s="38"/>
      <c r="L35" s="39" t="s">
        <v>7856</v>
      </c>
      <c r="M35" s="39" t="s">
        <v>29</v>
      </c>
      <c r="N35" s="38" t="s">
        <v>7881</v>
      </c>
      <c r="O35" s="39"/>
      <c r="P35" s="39"/>
    </row>
    <row r="36" spans="1:16" ht="13.2" customHeight="1" x14ac:dyDescent="0.25">
      <c r="A36" s="37">
        <v>34</v>
      </c>
      <c r="B36" s="38" t="s">
        <v>7882</v>
      </c>
      <c r="C36" s="38"/>
      <c r="D36" s="38" t="s">
        <v>7883</v>
      </c>
      <c r="E36" s="38" t="s">
        <v>7884</v>
      </c>
      <c r="F36" s="38" t="s">
        <v>7885</v>
      </c>
      <c r="G36" s="38" t="s">
        <v>7886</v>
      </c>
      <c r="H36" s="38" t="s">
        <v>7887</v>
      </c>
      <c r="I36" s="37" t="s">
        <v>90</v>
      </c>
      <c r="J36" s="38" t="s">
        <v>7888</v>
      </c>
      <c r="K36" s="38"/>
      <c r="L36" s="39" t="s">
        <v>7856</v>
      </c>
      <c r="M36" s="39" t="s">
        <v>29</v>
      </c>
      <c r="N36" s="38" t="s">
        <v>7889</v>
      </c>
      <c r="O36" s="39"/>
      <c r="P36" s="39"/>
    </row>
    <row r="37" spans="1:16" ht="13.2" customHeight="1" x14ac:dyDescent="0.25">
      <c r="A37" s="37">
        <v>35</v>
      </c>
      <c r="B37" s="38" t="s">
        <v>7890</v>
      </c>
      <c r="C37" s="38"/>
      <c r="D37" s="38" t="s">
        <v>7891</v>
      </c>
      <c r="E37" s="38" t="s">
        <v>7892</v>
      </c>
      <c r="F37" s="38" t="s">
        <v>7893</v>
      </c>
      <c r="G37" s="38" t="s">
        <v>7894</v>
      </c>
      <c r="H37" s="38" t="s">
        <v>2837</v>
      </c>
      <c r="I37" s="37" t="s">
        <v>113</v>
      </c>
      <c r="J37" s="38" t="s">
        <v>7895</v>
      </c>
      <c r="K37" s="38"/>
      <c r="L37" s="39" t="s">
        <v>7621</v>
      </c>
      <c r="M37" s="39" t="s">
        <v>29</v>
      </c>
      <c r="N37" s="38" t="s">
        <v>7896</v>
      </c>
      <c r="O37" s="39"/>
      <c r="P37" s="39"/>
    </row>
    <row r="38" spans="1:16" ht="13.2" customHeight="1" x14ac:dyDescent="0.25">
      <c r="A38" s="37">
        <v>36</v>
      </c>
      <c r="B38" s="38" t="s">
        <v>7897</v>
      </c>
      <c r="C38" s="38"/>
      <c r="D38" s="38" t="s">
        <v>7898</v>
      </c>
      <c r="E38" s="38" t="s">
        <v>7899</v>
      </c>
      <c r="F38" s="38" t="s">
        <v>7900</v>
      </c>
      <c r="G38" s="38" t="s">
        <v>7901</v>
      </c>
      <c r="H38" s="38" t="s">
        <v>7902</v>
      </c>
      <c r="I38" s="37" t="s">
        <v>90</v>
      </c>
      <c r="J38" s="38" t="s">
        <v>7903</v>
      </c>
      <c r="K38" s="38"/>
      <c r="L38" s="39" t="s">
        <v>7621</v>
      </c>
      <c r="M38" s="39" t="s">
        <v>29</v>
      </c>
      <c r="N38" s="38" t="s">
        <v>7904</v>
      </c>
      <c r="O38" s="39"/>
      <c r="P38" s="39"/>
    </row>
    <row r="39" spans="1:16" ht="13.2" customHeight="1" x14ac:dyDescent="0.25">
      <c r="A39" s="37">
        <v>37</v>
      </c>
      <c r="B39" s="38" t="s">
        <v>7905</v>
      </c>
      <c r="C39" s="38"/>
      <c r="D39" s="38" t="s">
        <v>7906</v>
      </c>
      <c r="E39" s="38" t="s">
        <v>7907</v>
      </c>
      <c r="F39" s="38" t="s">
        <v>7908</v>
      </c>
      <c r="G39" s="38" t="s">
        <v>7909</v>
      </c>
      <c r="H39" s="38" t="s">
        <v>7910</v>
      </c>
      <c r="I39" s="37" t="s">
        <v>90</v>
      </c>
      <c r="J39" s="38" t="s">
        <v>7911</v>
      </c>
      <c r="K39" s="38"/>
      <c r="L39" s="39" t="s">
        <v>7621</v>
      </c>
      <c r="M39" s="39" t="s">
        <v>29</v>
      </c>
      <c r="N39" s="38" t="s">
        <v>7912</v>
      </c>
      <c r="O39" s="39"/>
      <c r="P39" s="39"/>
    </row>
    <row r="40" spans="1:16" ht="13.2" customHeight="1" x14ac:dyDescent="0.25">
      <c r="A40" s="37">
        <v>38</v>
      </c>
      <c r="B40" s="38" t="s">
        <v>7913</v>
      </c>
      <c r="C40" s="38"/>
      <c r="D40" s="38" t="s">
        <v>7914</v>
      </c>
      <c r="E40" s="38" t="s">
        <v>7915</v>
      </c>
      <c r="F40" s="38" t="s">
        <v>7916</v>
      </c>
      <c r="G40" s="38" t="s">
        <v>7917</v>
      </c>
      <c r="H40" s="38" t="s">
        <v>7918</v>
      </c>
      <c r="I40" s="37" t="s">
        <v>123</v>
      </c>
      <c r="J40" s="38" t="s">
        <v>7919</v>
      </c>
      <c r="K40" s="38"/>
      <c r="L40" s="39" t="s">
        <v>7621</v>
      </c>
      <c r="M40" s="39" t="s">
        <v>29</v>
      </c>
      <c r="N40" s="38" t="s">
        <v>7920</v>
      </c>
      <c r="O40" s="39"/>
      <c r="P40" s="39"/>
    </row>
    <row r="41" spans="1:16" ht="13.2" customHeight="1" x14ac:dyDescent="0.25">
      <c r="A41" s="37">
        <v>39</v>
      </c>
      <c r="B41" s="38" t="s">
        <v>7921</v>
      </c>
      <c r="C41" s="38"/>
      <c r="D41" s="38" t="s">
        <v>7922</v>
      </c>
      <c r="E41" s="38" t="s">
        <v>7923</v>
      </c>
      <c r="F41" s="38" t="s">
        <v>7924</v>
      </c>
      <c r="G41" s="38" t="s">
        <v>7925</v>
      </c>
      <c r="H41" s="38" t="s">
        <v>7926</v>
      </c>
      <c r="I41" s="37" t="s">
        <v>90</v>
      </c>
      <c r="J41" s="38" t="s">
        <v>7927</v>
      </c>
      <c r="K41" s="38"/>
      <c r="L41" s="39" t="s">
        <v>7621</v>
      </c>
      <c r="M41" s="39" t="s">
        <v>29</v>
      </c>
      <c r="N41" s="38" t="s">
        <v>7928</v>
      </c>
      <c r="O41" s="39"/>
      <c r="P41" s="39"/>
    </row>
    <row r="42" spans="1:16" ht="13.2" customHeight="1" x14ac:dyDescent="0.25">
      <c r="A42" s="37">
        <v>40</v>
      </c>
      <c r="B42" s="38" t="s">
        <v>7929</v>
      </c>
      <c r="C42" s="38"/>
      <c r="D42" s="38" t="s">
        <v>7930</v>
      </c>
      <c r="E42" s="38" t="s">
        <v>7931</v>
      </c>
      <c r="F42" s="38" t="s">
        <v>7932</v>
      </c>
      <c r="G42" s="38" t="s">
        <v>7933</v>
      </c>
      <c r="H42" s="38" t="s">
        <v>7934</v>
      </c>
      <c r="I42" s="37" t="s">
        <v>90</v>
      </c>
      <c r="J42" s="38" t="s">
        <v>7935</v>
      </c>
      <c r="K42" s="38"/>
      <c r="L42" s="39" t="s">
        <v>7621</v>
      </c>
      <c r="M42" s="39" t="s">
        <v>29</v>
      </c>
      <c r="N42" s="38" t="s">
        <v>7936</v>
      </c>
      <c r="O42" s="39"/>
      <c r="P42" s="39"/>
    </row>
    <row r="43" spans="1:16" ht="13.2" customHeight="1" x14ac:dyDescent="0.25">
      <c r="A43" s="37">
        <v>41</v>
      </c>
      <c r="B43" s="38" t="s">
        <v>7937</v>
      </c>
      <c r="C43" s="38"/>
      <c r="D43" s="38" t="s">
        <v>7938</v>
      </c>
      <c r="E43" s="38" t="s">
        <v>7939</v>
      </c>
      <c r="F43" s="38" t="s">
        <v>7940</v>
      </c>
      <c r="G43" s="38" t="s">
        <v>7941</v>
      </c>
      <c r="H43" s="38" t="s">
        <v>7942</v>
      </c>
      <c r="I43" s="37" t="s">
        <v>90</v>
      </c>
      <c r="J43" s="38" t="s">
        <v>7943</v>
      </c>
      <c r="K43" s="38"/>
      <c r="L43" s="39" t="s">
        <v>7621</v>
      </c>
      <c r="M43" s="39" t="s">
        <v>29</v>
      </c>
      <c r="N43" s="38" t="s">
        <v>7944</v>
      </c>
      <c r="O43" s="39"/>
      <c r="P43" s="39"/>
    </row>
    <row r="44" spans="1:16" ht="13.2" customHeight="1" x14ac:dyDescent="0.25">
      <c r="A44" s="37">
        <v>42</v>
      </c>
      <c r="B44" s="38" t="s">
        <v>7945</v>
      </c>
      <c r="C44" s="38"/>
      <c r="D44" s="38" t="s">
        <v>7946</v>
      </c>
      <c r="E44" s="38" t="s">
        <v>7947</v>
      </c>
      <c r="F44" s="38" t="s">
        <v>7948</v>
      </c>
      <c r="G44" s="38" t="s">
        <v>7949</v>
      </c>
      <c r="H44" s="38" t="s">
        <v>7950</v>
      </c>
      <c r="I44" s="37" t="s">
        <v>96</v>
      </c>
      <c r="J44" s="38" t="s">
        <v>7951</v>
      </c>
      <c r="K44" s="38"/>
      <c r="L44" s="39" t="s">
        <v>7621</v>
      </c>
      <c r="M44" s="39" t="s">
        <v>29</v>
      </c>
      <c r="N44" s="38" t="s">
        <v>7952</v>
      </c>
      <c r="O44" s="39"/>
      <c r="P44" s="39"/>
    </row>
    <row r="45" spans="1:16" ht="13.2" customHeight="1" x14ac:dyDescent="0.25">
      <c r="A45" s="37">
        <v>43</v>
      </c>
      <c r="B45" s="38" t="s">
        <v>7953</v>
      </c>
      <c r="C45" s="38"/>
      <c r="D45" s="38" t="s">
        <v>7932</v>
      </c>
      <c r="E45" s="38" t="s">
        <v>7931</v>
      </c>
      <c r="F45" s="38" t="s">
        <v>7954</v>
      </c>
      <c r="G45" s="38" t="s">
        <v>7930</v>
      </c>
      <c r="H45" s="38" t="s">
        <v>7955</v>
      </c>
      <c r="I45" s="37" t="s">
        <v>90</v>
      </c>
      <c r="J45" s="38" t="s">
        <v>7956</v>
      </c>
      <c r="K45" s="38"/>
      <c r="L45" s="39" t="s">
        <v>7621</v>
      </c>
      <c r="M45" s="39" t="s">
        <v>29</v>
      </c>
      <c r="N45" s="38" t="s">
        <v>7957</v>
      </c>
      <c r="O45" s="39"/>
      <c r="P45" s="39"/>
    </row>
    <row r="46" spans="1:16" ht="13.2" customHeight="1" x14ac:dyDescent="0.25">
      <c r="A46" s="37">
        <v>44</v>
      </c>
      <c r="B46" s="38" t="s">
        <v>7958</v>
      </c>
      <c r="C46" s="38"/>
      <c r="D46" s="38" t="s">
        <v>7940</v>
      </c>
      <c r="E46" s="38" t="s">
        <v>7959</v>
      </c>
      <c r="F46" s="38" t="s">
        <v>7960</v>
      </c>
      <c r="G46" s="38" t="s">
        <v>7961</v>
      </c>
      <c r="H46" s="38" t="s">
        <v>7962</v>
      </c>
      <c r="I46" s="37" t="s">
        <v>113</v>
      </c>
      <c r="J46" s="38" t="s">
        <v>7963</v>
      </c>
      <c r="K46" s="38"/>
      <c r="L46" s="39" t="s">
        <v>7621</v>
      </c>
      <c r="M46" s="39" t="s">
        <v>29</v>
      </c>
      <c r="N46" s="38" t="s">
        <v>7964</v>
      </c>
      <c r="O46" s="39"/>
      <c r="P46" s="39"/>
    </row>
    <row r="47" spans="1:16" ht="13.2" customHeight="1" x14ac:dyDescent="0.25">
      <c r="A47" s="37">
        <v>45</v>
      </c>
      <c r="B47" s="38" t="s">
        <v>7965</v>
      </c>
      <c r="C47" s="38"/>
      <c r="D47" s="38" t="s">
        <v>7966</v>
      </c>
      <c r="E47" s="38" t="s">
        <v>7967</v>
      </c>
      <c r="F47" s="38" t="s">
        <v>7968</v>
      </c>
      <c r="G47" s="38" t="s">
        <v>7969</v>
      </c>
      <c r="H47" s="38" t="s">
        <v>7970</v>
      </c>
      <c r="I47" s="37" t="s">
        <v>90</v>
      </c>
      <c r="J47" s="38" t="s">
        <v>7971</v>
      </c>
      <c r="K47" s="38"/>
      <c r="L47" s="39" t="s">
        <v>7972</v>
      </c>
      <c r="M47" s="39" t="s">
        <v>29</v>
      </c>
      <c r="N47" s="38" t="s">
        <v>7973</v>
      </c>
      <c r="O47" s="39"/>
      <c r="P47" s="39"/>
    </row>
    <row r="48" spans="1:16" ht="13.2" customHeight="1" x14ac:dyDescent="0.25">
      <c r="A48" s="37">
        <v>46</v>
      </c>
      <c r="B48" s="38" t="s">
        <v>7974</v>
      </c>
      <c r="C48" s="38"/>
      <c r="D48" s="38" t="s">
        <v>7975</v>
      </c>
      <c r="E48" s="38" t="s">
        <v>7976</v>
      </c>
      <c r="F48" s="38" t="s">
        <v>7977</v>
      </c>
      <c r="G48" s="38" t="s">
        <v>7978</v>
      </c>
      <c r="H48" s="38" t="s">
        <v>7979</v>
      </c>
      <c r="I48" s="37" t="s">
        <v>113</v>
      </c>
      <c r="J48" s="38" t="s">
        <v>7980</v>
      </c>
      <c r="K48" s="38"/>
      <c r="L48" s="39" t="s">
        <v>7621</v>
      </c>
      <c r="M48" s="39" t="s">
        <v>29</v>
      </c>
      <c r="N48" s="38" t="s">
        <v>7981</v>
      </c>
      <c r="O48" s="39"/>
      <c r="P48" s="39"/>
    </row>
    <row r="49" spans="1:16" ht="13.2" customHeight="1" x14ac:dyDescent="0.25">
      <c r="A49" s="37">
        <v>47</v>
      </c>
      <c r="B49" s="38" t="s">
        <v>7982</v>
      </c>
      <c r="C49" s="38"/>
      <c r="D49" s="38" t="s">
        <v>7968</v>
      </c>
      <c r="E49" s="38" t="s">
        <v>7966</v>
      </c>
      <c r="F49" s="38" t="s">
        <v>7969</v>
      </c>
      <c r="G49" s="38" t="s">
        <v>7970</v>
      </c>
      <c r="H49" s="38" t="s">
        <v>7983</v>
      </c>
      <c r="I49" s="37" t="s">
        <v>90</v>
      </c>
      <c r="J49" s="38" t="s">
        <v>7984</v>
      </c>
      <c r="K49" s="38"/>
      <c r="L49" s="39" t="s">
        <v>7972</v>
      </c>
      <c r="M49" s="39" t="s">
        <v>29</v>
      </c>
      <c r="N49" s="38" t="s">
        <v>7985</v>
      </c>
      <c r="O49" s="39"/>
      <c r="P49" s="39"/>
    </row>
    <row r="50" spans="1:16" ht="13.2" customHeight="1" x14ac:dyDescent="0.25">
      <c r="A50" s="37">
        <v>48</v>
      </c>
      <c r="B50" s="38" t="s">
        <v>7986</v>
      </c>
      <c r="C50" s="38"/>
      <c r="D50" s="38" t="s">
        <v>7987</v>
      </c>
      <c r="E50" s="38" t="s">
        <v>7988</v>
      </c>
      <c r="F50" s="38" t="s">
        <v>7979</v>
      </c>
      <c r="G50" s="38" t="s">
        <v>7989</v>
      </c>
      <c r="H50" s="38" t="s">
        <v>7990</v>
      </c>
      <c r="I50" s="37" t="s">
        <v>84</v>
      </c>
      <c r="J50" s="38" t="s">
        <v>7991</v>
      </c>
      <c r="K50" s="38"/>
      <c r="L50" s="39" t="s">
        <v>7972</v>
      </c>
      <c r="M50" s="39" t="s">
        <v>29</v>
      </c>
      <c r="N50" s="38" t="s">
        <v>7992</v>
      </c>
      <c r="O50" s="39"/>
      <c r="P50" s="39"/>
    </row>
    <row r="51" spans="1:16" ht="13.2" customHeight="1" x14ac:dyDescent="0.25">
      <c r="A51" s="37">
        <v>49</v>
      </c>
      <c r="B51" s="38" t="s">
        <v>7993</v>
      </c>
      <c r="C51" s="38"/>
      <c r="D51" s="38" t="s">
        <v>7994</v>
      </c>
      <c r="E51" s="38" t="s">
        <v>7995</v>
      </c>
      <c r="F51" s="38" t="s">
        <v>7996</v>
      </c>
      <c r="G51" s="38" t="s">
        <v>7997</v>
      </c>
      <c r="H51" s="38" t="s">
        <v>7979</v>
      </c>
      <c r="I51" s="37" t="s">
        <v>96</v>
      </c>
      <c r="J51" s="38" t="s">
        <v>7998</v>
      </c>
      <c r="K51" s="38"/>
      <c r="L51" s="39" t="s">
        <v>7972</v>
      </c>
      <c r="M51" s="39" t="s">
        <v>29</v>
      </c>
      <c r="N51" s="38" t="s">
        <v>7999</v>
      </c>
      <c r="O51" s="39"/>
      <c r="P51" s="39"/>
    </row>
    <row r="52" spans="1:16" ht="13.2" customHeight="1" x14ac:dyDescent="0.25">
      <c r="A52" s="37">
        <v>50</v>
      </c>
      <c r="B52" s="38" t="s">
        <v>8000</v>
      </c>
      <c r="C52" s="38"/>
      <c r="D52" s="38" t="s">
        <v>8001</v>
      </c>
      <c r="E52" s="38" t="s">
        <v>8002</v>
      </c>
      <c r="F52" s="38" t="s">
        <v>8003</v>
      </c>
      <c r="G52" s="38" t="s">
        <v>8004</v>
      </c>
      <c r="H52" s="38" t="s">
        <v>8005</v>
      </c>
      <c r="I52" s="37" t="s">
        <v>96</v>
      </c>
      <c r="J52" s="38" t="s">
        <v>8006</v>
      </c>
      <c r="K52" s="38"/>
      <c r="L52" s="39" t="s">
        <v>7621</v>
      </c>
      <c r="M52" s="39" t="s">
        <v>29</v>
      </c>
      <c r="N52" s="38" t="s">
        <v>8007</v>
      </c>
      <c r="O52" s="39"/>
      <c r="P52" s="39"/>
    </row>
    <row r="53" spans="1:16" ht="13.2" customHeight="1" x14ac:dyDescent="0.25">
      <c r="A53" s="37">
        <v>51</v>
      </c>
      <c r="B53" s="38" t="s">
        <v>8008</v>
      </c>
      <c r="C53" s="38"/>
      <c r="D53" s="38" t="s">
        <v>8009</v>
      </c>
      <c r="E53" s="38" t="s">
        <v>8010</v>
      </c>
      <c r="F53" s="38" t="s">
        <v>8011</v>
      </c>
      <c r="G53" s="38" t="s">
        <v>8012</v>
      </c>
      <c r="H53" s="38" t="s">
        <v>8013</v>
      </c>
      <c r="I53" s="37" t="s">
        <v>96</v>
      </c>
      <c r="J53" s="38" t="s">
        <v>8014</v>
      </c>
      <c r="K53" s="38"/>
      <c r="L53" s="39" t="s">
        <v>7621</v>
      </c>
      <c r="M53" s="39" t="s">
        <v>29</v>
      </c>
      <c r="N53" s="38" t="s">
        <v>8015</v>
      </c>
      <c r="O53" s="39"/>
      <c r="P53" s="39"/>
    </row>
    <row r="54" spans="1:16" ht="13.2" customHeight="1" x14ac:dyDescent="0.25">
      <c r="A54" s="37">
        <v>52</v>
      </c>
      <c r="B54" s="38" t="s">
        <v>8016</v>
      </c>
      <c r="C54" s="38"/>
      <c r="D54" s="38" t="s">
        <v>8017</v>
      </c>
      <c r="E54" s="38" t="s">
        <v>8018</v>
      </c>
      <c r="F54" s="38" t="s">
        <v>8019</v>
      </c>
      <c r="G54" s="38" t="s">
        <v>8020</v>
      </c>
      <c r="H54" s="38" t="s">
        <v>8021</v>
      </c>
      <c r="I54" s="37" t="s">
        <v>96</v>
      </c>
      <c r="J54" s="38" t="s">
        <v>8022</v>
      </c>
      <c r="K54" s="38"/>
      <c r="L54" s="39" t="s">
        <v>7621</v>
      </c>
      <c r="M54" s="39" t="s">
        <v>29</v>
      </c>
      <c r="N54" s="38" t="s">
        <v>8023</v>
      </c>
      <c r="O54" s="39"/>
      <c r="P54" s="39"/>
    </row>
    <row r="55" spans="1:16" ht="13.2" customHeight="1" x14ac:dyDescent="0.25">
      <c r="A55" s="37">
        <v>53</v>
      </c>
      <c r="B55" s="38" t="s">
        <v>8024</v>
      </c>
      <c r="C55" s="38"/>
      <c r="D55" s="38" t="s">
        <v>8025</v>
      </c>
      <c r="E55" s="38" t="s">
        <v>8026</v>
      </c>
      <c r="F55" s="38" t="s">
        <v>8027</v>
      </c>
      <c r="G55" s="38" t="s">
        <v>8028</v>
      </c>
      <c r="H55" s="38" t="s">
        <v>8029</v>
      </c>
      <c r="I55" s="37" t="s">
        <v>96</v>
      </c>
      <c r="J55" s="38" t="s">
        <v>8030</v>
      </c>
      <c r="K55" s="38"/>
      <c r="L55" s="39" t="s">
        <v>7621</v>
      </c>
      <c r="M55" s="39" t="s">
        <v>29</v>
      </c>
      <c r="N55" s="38" t="s">
        <v>8031</v>
      </c>
      <c r="O55" s="39"/>
      <c r="P55" s="39"/>
    </row>
    <row r="56" spans="1:16" ht="13.2" customHeight="1" x14ac:dyDescent="0.25">
      <c r="A56" s="37">
        <v>54</v>
      </c>
      <c r="B56" s="38" t="s">
        <v>8032</v>
      </c>
      <c r="C56" s="38"/>
      <c r="D56" s="38" t="s">
        <v>8033</v>
      </c>
      <c r="E56" s="38" t="s">
        <v>8034</v>
      </c>
      <c r="F56" s="38" t="s">
        <v>8035</v>
      </c>
      <c r="G56" s="38" t="s">
        <v>8036</v>
      </c>
      <c r="H56" s="38" t="s">
        <v>8037</v>
      </c>
      <c r="I56" s="37" t="s">
        <v>90</v>
      </c>
      <c r="J56" s="38" t="s">
        <v>8038</v>
      </c>
      <c r="K56" s="38"/>
      <c r="L56" s="39" t="s">
        <v>7621</v>
      </c>
      <c r="M56" s="39" t="s">
        <v>29</v>
      </c>
      <c r="N56" s="38" t="s">
        <v>8039</v>
      </c>
      <c r="O56" s="39"/>
      <c r="P56" s="39"/>
    </row>
    <row r="57" spans="1:16" ht="13.2" customHeight="1" x14ac:dyDescent="0.25">
      <c r="A57" s="37">
        <v>55</v>
      </c>
      <c r="B57" s="38" t="s">
        <v>8040</v>
      </c>
      <c r="C57" s="38"/>
      <c r="D57" s="38" t="s">
        <v>8041</v>
      </c>
      <c r="E57" s="38" t="s">
        <v>8042</v>
      </c>
      <c r="F57" s="38" t="s">
        <v>8043</v>
      </c>
      <c r="G57" s="38" t="s">
        <v>8044</v>
      </c>
      <c r="H57" s="38" t="s">
        <v>8045</v>
      </c>
      <c r="I57" s="37" t="s">
        <v>96</v>
      </c>
      <c r="J57" s="38" t="s">
        <v>8046</v>
      </c>
      <c r="K57" s="38"/>
      <c r="L57" s="39" t="s">
        <v>7621</v>
      </c>
      <c r="M57" s="39" t="s">
        <v>29</v>
      </c>
      <c r="N57" s="38" t="s">
        <v>8047</v>
      </c>
      <c r="O57" s="39"/>
      <c r="P57" s="39"/>
    </row>
    <row r="58" spans="1:16" ht="13.2" customHeight="1" x14ac:dyDescent="0.25">
      <c r="A58" s="37">
        <v>56</v>
      </c>
      <c r="B58" s="38" t="s">
        <v>8048</v>
      </c>
      <c r="C58" s="38"/>
      <c r="D58" s="38" t="s">
        <v>8049</v>
      </c>
      <c r="E58" s="38" t="s">
        <v>8050</v>
      </c>
      <c r="F58" s="38" t="s">
        <v>8051</v>
      </c>
      <c r="G58" s="38" t="s">
        <v>8052</v>
      </c>
      <c r="H58" s="38" t="s">
        <v>8053</v>
      </c>
      <c r="I58" s="37" t="s">
        <v>90</v>
      </c>
      <c r="J58" s="38" t="s">
        <v>8054</v>
      </c>
      <c r="K58" s="38"/>
      <c r="L58" s="39" t="s">
        <v>7621</v>
      </c>
      <c r="M58" s="39" t="s">
        <v>29</v>
      </c>
      <c r="N58" s="38" t="s">
        <v>8055</v>
      </c>
      <c r="O58" s="39"/>
      <c r="P58" s="39"/>
    </row>
    <row r="59" spans="1:16" ht="13.2" customHeight="1" x14ac:dyDescent="0.25">
      <c r="A59" s="37">
        <v>57</v>
      </c>
      <c r="B59" s="38" t="s">
        <v>8056</v>
      </c>
      <c r="C59" s="38"/>
      <c r="D59" s="38" t="s">
        <v>8057</v>
      </c>
      <c r="E59" s="38" t="s">
        <v>8058</v>
      </c>
      <c r="F59" s="38" t="s">
        <v>8059</v>
      </c>
      <c r="G59" s="38" t="s">
        <v>8060</v>
      </c>
      <c r="H59" s="38" t="s">
        <v>8061</v>
      </c>
      <c r="I59" s="37" t="s">
        <v>96</v>
      </c>
      <c r="J59" s="38" t="s">
        <v>8062</v>
      </c>
      <c r="K59" s="38"/>
      <c r="L59" s="39" t="s">
        <v>7621</v>
      </c>
      <c r="M59" s="39" t="s">
        <v>29</v>
      </c>
      <c r="N59" s="38" t="s">
        <v>8063</v>
      </c>
      <c r="O59" s="39"/>
      <c r="P59" s="39"/>
    </row>
    <row r="60" spans="1:16" ht="13.2" customHeight="1" x14ac:dyDescent="0.25">
      <c r="A60" s="37">
        <v>58</v>
      </c>
      <c r="B60" s="38" t="s">
        <v>8064</v>
      </c>
      <c r="C60" s="38"/>
      <c r="D60" s="38" t="s">
        <v>8065</v>
      </c>
      <c r="E60" s="38" t="s">
        <v>8066</v>
      </c>
      <c r="F60" s="38" t="s">
        <v>8067</v>
      </c>
      <c r="G60" s="38" t="s">
        <v>8068</v>
      </c>
      <c r="H60" s="38" t="s">
        <v>8069</v>
      </c>
      <c r="I60" s="37" t="s">
        <v>113</v>
      </c>
      <c r="J60" s="38" t="s">
        <v>8070</v>
      </c>
      <c r="K60" s="38"/>
      <c r="L60" s="39" t="s">
        <v>7621</v>
      </c>
      <c r="M60" s="39" t="s">
        <v>29</v>
      </c>
      <c r="N60" s="38" t="s">
        <v>8071</v>
      </c>
      <c r="O60" s="39"/>
      <c r="P60" s="39"/>
    </row>
    <row r="61" spans="1:16" ht="13.2" customHeight="1" x14ac:dyDescent="0.25">
      <c r="A61" s="37">
        <v>59</v>
      </c>
      <c r="B61" s="38" t="s">
        <v>8072</v>
      </c>
      <c r="C61" s="38"/>
      <c r="D61" s="38" t="s">
        <v>8073</v>
      </c>
      <c r="E61" s="38" t="s">
        <v>8074</v>
      </c>
      <c r="F61" s="38" t="s">
        <v>8075</v>
      </c>
      <c r="G61" s="38" t="s">
        <v>8076</v>
      </c>
      <c r="H61" s="38" t="s">
        <v>8077</v>
      </c>
      <c r="I61" s="37" t="s">
        <v>90</v>
      </c>
      <c r="J61" s="38" t="s">
        <v>8078</v>
      </c>
      <c r="K61" s="38"/>
      <c r="L61" s="39" t="s">
        <v>7621</v>
      </c>
      <c r="M61" s="39" t="s">
        <v>29</v>
      </c>
      <c r="N61" s="38" t="s">
        <v>8079</v>
      </c>
      <c r="O61" s="39"/>
      <c r="P61" s="39"/>
    </row>
    <row r="62" spans="1:16" ht="13.2" customHeight="1" x14ac:dyDescent="0.25">
      <c r="A62" s="37">
        <v>60</v>
      </c>
      <c r="B62" s="38" t="s">
        <v>8080</v>
      </c>
      <c r="C62" s="38"/>
      <c r="D62" s="38" t="s">
        <v>8081</v>
      </c>
      <c r="E62" s="38" t="s">
        <v>8082</v>
      </c>
      <c r="F62" s="38" t="s">
        <v>1133</v>
      </c>
      <c r="G62" s="38" t="s">
        <v>8083</v>
      </c>
      <c r="H62" s="38" t="s">
        <v>8084</v>
      </c>
      <c r="I62" s="37" t="s">
        <v>96</v>
      </c>
      <c r="J62" s="38" t="s">
        <v>8085</v>
      </c>
      <c r="K62" s="38"/>
      <c r="L62" s="39" t="s">
        <v>7621</v>
      </c>
      <c r="M62" s="39" t="s">
        <v>29</v>
      </c>
      <c r="N62" s="38" t="s">
        <v>8086</v>
      </c>
      <c r="O62" s="39"/>
      <c r="P62" s="39"/>
    </row>
    <row r="63" spans="1:16" ht="13.2" customHeight="1" x14ac:dyDescent="0.25">
      <c r="A63" s="37">
        <v>61</v>
      </c>
      <c r="B63" s="38" t="s">
        <v>8087</v>
      </c>
      <c r="C63" s="38"/>
      <c r="D63" s="38" t="s">
        <v>3771</v>
      </c>
      <c r="E63" s="38" t="s">
        <v>8088</v>
      </c>
      <c r="F63" s="38" t="s">
        <v>518</v>
      </c>
      <c r="G63" s="38" t="s">
        <v>2977</v>
      </c>
      <c r="H63" s="38" t="s">
        <v>2974</v>
      </c>
      <c r="I63" s="37" t="s">
        <v>96</v>
      </c>
      <c r="J63" s="38" t="s">
        <v>8089</v>
      </c>
      <c r="K63" s="38"/>
      <c r="L63" s="39" t="s">
        <v>7621</v>
      </c>
      <c r="M63" s="39" t="s">
        <v>29</v>
      </c>
      <c r="N63" s="38" t="s">
        <v>8086</v>
      </c>
      <c r="O63" s="39"/>
      <c r="P63" s="39"/>
    </row>
    <row r="64" spans="1:16" ht="13.2" customHeight="1" x14ac:dyDescent="0.25">
      <c r="A64" s="37">
        <v>62</v>
      </c>
      <c r="B64" s="38" t="s">
        <v>8090</v>
      </c>
      <c r="C64" s="38"/>
      <c r="D64" s="38" t="s">
        <v>8091</v>
      </c>
      <c r="E64" s="38" t="s">
        <v>8092</v>
      </c>
      <c r="F64" s="38" t="s">
        <v>8093</v>
      </c>
      <c r="G64" s="38" t="s">
        <v>8094</v>
      </c>
      <c r="H64" s="38" t="s">
        <v>8095</v>
      </c>
      <c r="I64" s="37" t="s">
        <v>96</v>
      </c>
      <c r="J64" s="38" t="s">
        <v>8096</v>
      </c>
      <c r="K64" s="38"/>
      <c r="L64" s="39" t="s">
        <v>7621</v>
      </c>
      <c r="M64" s="39" t="s">
        <v>29</v>
      </c>
      <c r="N64" s="38" t="s">
        <v>8086</v>
      </c>
      <c r="O64" s="39"/>
      <c r="P64" s="39"/>
    </row>
    <row r="65" spans="1:16" ht="13.2" customHeight="1" x14ac:dyDescent="0.25">
      <c r="A65" s="37">
        <v>63</v>
      </c>
      <c r="B65" s="38" t="s">
        <v>8097</v>
      </c>
      <c r="C65" s="38"/>
      <c r="D65" s="38" t="s">
        <v>5408</v>
      </c>
      <c r="E65" s="38" t="s">
        <v>5404</v>
      </c>
      <c r="F65" s="38" t="s">
        <v>5405</v>
      </c>
      <c r="G65" s="38" t="s">
        <v>8098</v>
      </c>
      <c r="H65" s="38" t="s">
        <v>8099</v>
      </c>
      <c r="I65" s="37" t="s">
        <v>96</v>
      </c>
      <c r="J65" s="38" t="s">
        <v>8100</v>
      </c>
      <c r="K65" s="38"/>
      <c r="L65" s="39" t="s">
        <v>7972</v>
      </c>
      <c r="M65" s="39" t="s">
        <v>29</v>
      </c>
      <c r="N65" s="38" t="s">
        <v>8086</v>
      </c>
      <c r="O65" s="39"/>
      <c r="P65" s="39"/>
    </row>
    <row r="66" spans="1:16" ht="13.2" customHeight="1" x14ac:dyDescent="0.25">
      <c r="A66" s="37">
        <v>64</v>
      </c>
      <c r="B66" s="38" t="s">
        <v>8101</v>
      </c>
      <c r="C66" s="38"/>
      <c r="D66" s="38" t="s">
        <v>2964</v>
      </c>
      <c r="E66" s="38" t="s">
        <v>2968</v>
      </c>
      <c r="F66" s="38" t="s">
        <v>3785</v>
      </c>
      <c r="G66" s="38" t="s">
        <v>8102</v>
      </c>
      <c r="H66" s="38" t="s">
        <v>8103</v>
      </c>
      <c r="I66" s="37" t="s">
        <v>90</v>
      </c>
      <c r="J66" s="38" t="s">
        <v>8104</v>
      </c>
      <c r="K66" s="38"/>
      <c r="L66" s="39" t="s">
        <v>7621</v>
      </c>
      <c r="M66" s="39" t="s">
        <v>29</v>
      </c>
      <c r="N66" s="38" t="s">
        <v>672</v>
      </c>
      <c r="O66" s="39"/>
      <c r="P66" s="39"/>
    </row>
    <row r="67" spans="1:16" ht="13.2" customHeight="1" x14ac:dyDescent="0.25">
      <c r="A67" s="37">
        <v>65</v>
      </c>
      <c r="B67" s="38" t="s">
        <v>8105</v>
      </c>
      <c r="C67" s="38"/>
      <c r="D67" s="38" t="s">
        <v>4062</v>
      </c>
      <c r="E67" s="38" t="s">
        <v>8106</v>
      </c>
      <c r="F67" s="38" t="s">
        <v>8107</v>
      </c>
      <c r="G67" s="38" t="s">
        <v>3008</v>
      </c>
      <c r="H67" s="38" t="s">
        <v>3317</v>
      </c>
      <c r="I67" s="37" t="s">
        <v>90</v>
      </c>
      <c r="J67" s="38" t="s">
        <v>8108</v>
      </c>
      <c r="K67" s="38"/>
      <c r="L67" s="39" t="s">
        <v>7621</v>
      </c>
      <c r="M67" s="39" t="s">
        <v>29</v>
      </c>
      <c r="N67" s="38" t="s">
        <v>672</v>
      </c>
      <c r="O67" s="39"/>
      <c r="P67" s="39"/>
    </row>
    <row r="68" spans="1:16" ht="13.2" customHeight="1" x14ac:dyDescent="0.25">
      <c r="A68" s="37">
        <v>66</v>
      </c>
      <c r="B68" s="38" t="s">
        <v>8109</v>
      </c>
      <c r="C68" s="38"/>
      <c r="D68" s="38" t="s">
        <v>8110</v>
      </c>
      <c r="E68" s="38" t="s">
        <v>8111</v>
      </c>
      <c r="F68" s="38" t="s">
        <v>8112</v>
      </c>
      <c r="G68" s="38" t="s">
        <v>8113</v>
      </c>
      <c r="H68" s="38" t="s">
        <v>8114</v>
      </c>
      <c r="I68" s="37" t="s">
        <v>90</v>
      </c>
      <c r="J68" s="38" t="s">
        <v>8115</v>
      </c>
      <c r="K68" s="38"/>
      <c r="L68" s="39" t="s">
        <v>7621</v>
      </c>
      <c r="M68" s="39" t="s">
        <v>29</v>
      </c>
      <c r="N68" s="38" t="s">
        <v>672</v>
      </c>
      <c r="O68" s="39"/>
      <c r="P68" s="39"/>
    </row>
    <row r="69" spans="1:16" ht="13.2" customHeight="1" x14ac:dyDescent="0.25">
      <c r="A69" s="37">
        <v>67</v>
      </c>
      <c r="B69" s="38" t="s">
        <v>8116</v>
      </c>
      <c r="C69" s="38"/>
      <c r="D69" s="38" t="s">
        <v>8117</v>
      </c>
      <c r="E69" s="38" t="s">
        <v>8118</v>
      </c>
      <c r="F69" s="38" t="s">
        <v>8119</v>
      </c>
      <c r="G69" s="38" t="s">
        <v>8120</v>
      </c>
      <c r="H69" s="38" t="s">
        <v>8121</v>
      </c>
      <c r="I69" s="37" t="s">
        <v>90</v>
      </c>
      <c r="J69" s="38" t="s">
        <v>8122</v>
      </c>
      <c r="K69" s="38"/>
      <c r="L69" s="39" t="s">
        <v>7972</v>
      </c>
      <c r="M69" s="39" t="s">
        <v>29</v>
      </c>
      <c r="N69" s="38" t="s">
        <v>672</v>
      </c>
      <c r="O69" s="39"/>
      <c r="P69" s="39"/>
    </row>
    <row r="70" spans="1:16" ht="13.2" customHeight="1" x14ac:dyDescent="0.25">
      <c r="A70" s="37">
        <v>68</v>
      </c>
      <c r="B70" s="38" t="s">
        <v>8123</v>
      </c>
      <c r="C70" s="38"/>
      <c r="D70" s="38" t="s">
        <v>8124</v>
      </c>
      <c r="E70" s="38" t="s">
        <v>8125</v>
      </c>
      <c r="F70" s="38" t="s">
        <v>8126</v>
      </c>
      <c r="G70" s="38" t="s">
        <v>8127</v>
      </c>
      <c r="H70" s="38" t="s">
        <v>8128</v>
      </c>
      <c r="I70" s="37" t="s">
        <v>113</v>
      </c>
      <c r="J70" s="38" t="s">
        <v>8129</v>
      </c>
      <c r="K70" s="38"/>
      <c r="L70" s="39" t="s">
        <v>7621</v>
      </c>
      <c r="M70" s="39" t="s">
        <v>29</v>
      </c>
      <c r="N70" s="38" t="s">
        <v>5240</v>
      </c>
      <c r="O70" s="39"/>
      <c r="P70" s="39"/>
    </row>
    <row r="71" spans="1:16" ht="13.2" customHeight="1" x14ac:dyDescent="0.25">
      <c r="A71" s="37">
        <v>69</v>
      </c>
      <c r="B71" s="38" t="s">
        <v>8130</v>
      </c>
      <c r="C71" s="38"/>
      <c r="D71" s="38" t="s">
        <v>8131</v>
      </c>
      <c r="E71" s="38" t="s">
        <v>3035</v>
      </c>
      <c r="F71" s="38" t="s">
        <v>3583</v>
      </c>
      <c r="G71" s="38" t="s">
        <v>3470</v>
      </c>
      <c r="H71" s="38" t="s">
        <v>8132</v>
      </c>
      <c r="I71" s="37" t="s">
        <v>113</v>
      </c>
      <c r="J71" s="38" t="s">
        <v>8133</v>
      </c>
      <c r="K71" s="38"/>
      <c r="L71" s="39" t="s">
        <v>7621</v>
      </c>
      <c r="M71" s="39" t="s">
        <v>29</v>
      </c>
      <c r="N71" s="38" t="s">
        <v>5240</v>
      </c>
      <c r="O71" s="39"/>
      <c r="P71" s="39"/>
    </row>
    <row r="72" spans="1:16" ht="13.2" customHeight="1" x14ac:dyDescent="0.25">
      <c r="A72" s="37">
        <v>70</v>
      </c>
      <c r="B72" s="38" t="s">
        <v>8134</v>
      </c>
      <c r="C72" s="38"/>
      <c r="D72" s="38" t="s">
        <v>8135</v>
      </c>
      <c r="E72" s="38" t="s">
        <v>8136</v>
      </c>
      <c r="F72" s="38" t="s">
        <v>8137</v>
      </c>
      <c r="G72" s="38" t="s">
        <v>8138</v>
      </c>
      <c r="H72" s="38" t="s">
        <v>781</v>
      </c>
      <c r="I72" s="37" t="s">
        <v>113</v>
      </c>
      <c r="J72" s="38" t="s">
        <v>8139</v>
      </c>
      <c r="K72" s="38"/>
      <c r="L72" s="39" t="s">
        <v>7621</v>
      </c>
      <c r="M72" s="39" t="s">
        <v>29</v>
      </c>
      <c r="N72" s="38" t="s">
        <v>5240</v>
      </c>
      <c r="O72" s="39"/>
      <c r="P72" s="39"/>
    </row>
    <row r="73" spans="1:16" ht="13.2" customHeight="1" x14ac:dyDescent="0.25">
      <c r="A73" s="37">
        <v>71</v>
      </c>
      <c r="B73" s="38" t="s">
        <v>8140</v>
      </c>
      <c r="C73" s="38"/>
      <c r="D73" s="38" t="s">
        <v>8141</v>
      </c>
      <c r="E73" s="38" t="s">
        <v>8142</v>
      </c>
      <c r="F73" s="38" t="s">
        <v>8143</v>
      </c>
      <c r="G73" s="38" t="s">
        <v>8144</v>
      </c>
      <c r="H73" s="38" t="s">
        <v>8145</v>
      </c>
      <c r="I73" s="37" t="s">
        <v>113</v>
      </c>
      <c r="J73" s="38" t="s">
        <v>8146</v>
      </c>
      <c r="K73" s="38"/>
      <c r="L73" s="39" t="s">
        <v>7972</v>
      </c>
      <c r="M73" s="39" t="s">
        <v>29</v>
      </c>
      <c r="N73" s="38" t="s">
        <v>5240</v>
      </c>
      <c r="O73" s="39"/>
      <c r="P73" s="39"/>
    </row>
    <row r="74" spans="1:16" ht="13.2" customHeight="1" x14ac:dyDescent="0.25">
      <c r="A74" s="37">
        <v>72</v>
      </c>
      <c r="B74" s="38" t="s">
        <v>8147</v>
      </c>
      <c r="C74" s="38"/>
      <c r="D74" s="38" t="s">
        <v>8148</v>
      </c>
      <c r="E74" s="38" t="s">
        <v>8149</v>
      </c>
      <c r="F74" s="38" t="s">
        <v>8150</v>
      </c>
      <c r="G74" s="38" t="s">
        <v>8151</v>
      </c>
      <c r="H74" s="38" t="s">
        <v>8152</v>
      </c>
      <c r="I74" s="37" t="s">
        <v>84</v>
      </c>
      <c r="J74" s="38" t="s">
        <v>8153</v>
      </c>
      <c r="K74" s="38"/>
      <c r="L74" s="39" t="s">
        <v>7621</v>
      </c>
      <c r="M74" s="39" t="s">
        <v>29</v>
      </c>
      <c r="N74" s="38" t="s">
        <v>8154</v>
      </c>
      <c r="O74" s="39"/>
      <c r="P74" s="39"/>
    </row>
    <row r="75" spans="1:16" ht="13.2" customHeight="1" x14ac:dyDescent="0.25">
      <c r="A75" s="37">
        <v>73</v>
      </c>
      <c r="B75" s="38" t="s">
        <v>8155</v>
      </c>
      <c r="C75" s="38"/>
      <c r="D75" s="38" t="s">
        <v>2973</v>
      </c>
      <c r="E75" s="38" t="s">
        <v>2974</v>
      </c>
      <c r="F75" s="38" t="s">
        <v>2975</v>
      </c>
      <c r="G75" s="38" t="s">
        <v>8156</v>
      </c>
      <c r="H75" s="38" t="s">
        <v>2977</v>
      </c>
      <c r="I75" s="37" t="s">
        <v>84</v>
      </c>
      <c r="J75" s="38" t="s">
        <v>8157</v>
      </c>
      <c r="K75" s="38"/>
      <c r="L75" s="39" t="s">
        <v>7621</v>
      </c>
      <c r="M75" s="39" t="s">
        <v>29</v>
      </c>
      <c r="N75" s="38" t="s">
        <v>8154</v>
      </c>
      <c r="O75" s="39"/>
      <c r="P75" s="39"/>
    </row>
    <row r="76" spans="1:16" ht="13.2" customHeight="1" x14ac:dyDescent="0.25">
      <c r="A76" s="37">
        <v>74</v>
      </c>
      <c r="B76" s="38" t="s">
        <v>8158</v>
      </c>
      <c r="C76" s="38"/>
      <c r="D76" s="38" t="s">
        <v>8159</v>
      </c>
      <c r="E76" s="38" t="s">
        <v>8160</v>
      </c>
      <c r="F76" s="38" t="s">
        <v>8161</v>
      </c>
      <c r="G76" s="38" t="s">
        <v>8162</v>
      </c>
      <c r="H76" s="38" t="s">
        <v>8163</v>
      </c>
      <c r="I76" s="37" t="s">
        <v>84</v>
      </c>
      <c r="J76" s="38" t="s">
        <v>8164</v>
      </c>
      <c r="K76" s="38"/>
      <c r="L76" s="39" t="s">
        <v>7621</v>
      </c>
      <c r="M76" s="39" t="s">
        <v>29</v>
      </c>
      <c r="N76" s="38" t="s">
        <v>8154</v>
      </c>
      <c r="O76" s="39"/>
      <c r="P76" s="39"/>
    </row>
    <row r="77" spans="1:16" ht="13.2" customHeight="1" x14ac:dyDescent="0.25">
      <c r="A77" s="37">
        <v>75</v>
      </c>
      <c r="B77" s="38" t="s">
        <v>8165</v>
      </c>
      <c r="C77" s="38"/>
      <c r="D77" s="38" t="s">
        <v>8166</v>
      </c>
      <c r="E77" s="38" t="s">
        <v>8167</v>
      </c>
      <c r="F77" s="38" t="s">
        <v>8168</v>
      </c>
      <c r="G77" s="38" t="s">
        <v>8169</v>
      </c>
      <c r="H77" s="38" t="s">
        <v>8170</v>
      </c>
      <c r="I77" s="37" t="s">
        <v>84</v>
      </c>
      <c r="J77" s="38" t="s">
        <v>8171</v>
      </c>
      <c r="K77" s="38"/>
      <c r="L77" s="39" t="s">
        <v>7972</v>
      </c>
      <c r="M77" s="39" t="s">
        <v>29</v>
      </c>
      <c r="N77" s="38" t="s">
        <v>8154</v>
      </c>
      <c r="O77" s="39"/>
      <c r="P77" s="39"/>
    </row>
    <row r="78" spans="1:16" ht="13.2" customHeight="1" x14ac:dyDescent="0.25">
      <c r="A78" s="37">
        <v>76</v>
      </c>
      <c r="B78" s="38" t="s">
        <v>8172</v>
      </c>
      <c r="C78" s="38"/>
      <c r="D78" s="38" t="s">
        <v>8173</v>
      </c>
      <c r="E78" s="38" t="s">
        <v>8174</v>
      </c>
      <c r="F78" s="38" t="s">
        <v>8175</v>
      </c>
      <c r="G78" s="38" t="s">
        <v>8176</v>
      </c>
      <c r="H78" s="38" t="s">
        <v>8177</v>
      </c>
      <c r="I78" s="37" t="s">
        <v>90</v>
      </c>
      <c r="J78" s="38" t="s">
        <v>8178</v>
      </c>
      <c r="K78" s="38"/>
      <c r="L78" s="39" t="s">
        <v>7621</v>
      </c>
      <c r="M78" s="39" t="s">
        <v>29</v>
      </c>
      <c r="N78" s="38" t="s">
        <v>5255</v>
      </c>
      <c r="O78" s="39"/>
      <c r="P78" s="39"/>
    </row>
    <row r="79" spans="1:16" ht="13.2" customHeight="1" x14ac:dyDescent="0.25">
      <c r="A79" s="37">
        <v>77</v>
      </c>
      <c r="B79" s="38" t="s">
        <v>8179</v>
      </c>
      <c r="C79" s="38"/>
      <c r="D79" s="38" t="s">
        <v>2981</v>
      </c>
      <c r="E79" s="38" t="s">
        <v>2982</v>
      </c>
      <c r="F79" s="38" t="s">
        <v>2983</v>
      </c>
      <c r="G79" s="38" t="s">
        <v>2984</v>
      </c>
      <c r="H79" s="38" t="s">
        <v>2985</v>
      </c>
      <c r="I79" s="37" t="s">
        <v>90</v>
      </c>
      <c r="J79" s="38" t="s">
        <v>8180</v>
      </c>
      <c r="K79" s="38"/>
      <c r="L79" s="39" t="s">
        <v>7621</v>
      </c>
      <c r="M79" s="39" t="s">
        <v>29</v>
      </c>
      <c r="N79" s="38" t="s">
        <v>5255</v>
      </c>
      <c r="O79" s="39"/>
      <c r="P79" s="39"/>
    </row>
    <row r="80" spans="1:16" ht="13.2" customHeight="1" x14ac:dyDescent="0.25">
      <c r="A80" s="37">
        <v>78</v>
      </c>
      <c r="B80" s="38" t="s">
        <v>8181</v>
      </c>
      <c r="C80" s="38"/>
      <c r="D80" s="38" t="s">
        <v>8182</v>
      </c>
      <c r="E80" s="38" t="s">
        <v>8183</v>
      </c>
      <c r="F80" s="38" t="s">
        <v>3100</v>
      </c>
      <c r="G80" s="38" t="s">
        <v>8184</v>
      </c>
      <c r="H80" s="38" t="s">
        <v>8185</v>
      </c>
      <c r="I80" s="37" t="s">
        <v>90</v>
      </c>
      <c r="J80" s="38" t="s">
        <v>8186</v>
      </c>
      <c r="K80" s="38"/>
      <c r="L80" s="39" t="s">
        <v>7621</v>
      </c>
      <c r="M80" s="39" t="s">
        <v>29</v>
      </c>
      <c r="N80" s="38" t="s">
        <v>5255</v>
      </c>
      <c r="O80" s="39"/>
      <c r="P80" s="39"/>
    </row>
    <row r="81" spans="1:16" ht="13.2" customHeight="1" x14ac:dyDescent="0.25">
      <c r="A81" s="37">
        <v>79</v>
      </c>
      <c r="B81" s="38" t="s">
        <v>8187</v>
      </c>
      <c r="C81" s="38"/>
      <c r="D81" s="38" t="s">
        <v>8188</v>
      </c>
      <c r="E81" s="38" t="s">
        <v>8136</v>
      </c>
      <c r="F81" s="38" t="s">
        <v>8137</v>
      </c>
      <c r="G81" s="38" t="s">
        <v>8138</v>
      </c>
      <c r="H81" s="38" t="s">
        <v>781</v>
      </c>
      <c r="I81" s="37" t="s">
        <v>90</v>
      </c>
      <c r="J81" s="38" t="s">
        <v>8189</v>
      </c>
      <c r="K81" s="38"/>
      <c r="L81" s="39" t="s">
        <v>7621</v>
      </c>
      <c r="M81" s="39" t="s">
        <v>29</v>
      </c>
      <c r="N81" s="38" t="s">
        <v>5255</v>
      </c>
      <c r="O81" s="39"/>
      <c r="P81" s="39"/>
    </row>
    <row r="82" spans="1:16" ht="13.2" customHeight="1" x14ac:dyDescent="0.25">
      <c r="A82" s="37">
        <v>80</v>
      </c>
      <c r="B82" s="38" t="s">
        <v>8190</v>
      </c>
      <c r="C82" s="38"/>
      <c r="D82" s="38" t="s">
        <v>5408</v>
      </c>
      <c r="E82" s="38" t="s">
        <v>5404</v>
      </c>
      <c r="F82" s="38" t="s">
        <v>5405</v>
      </c>
      <c r="G82" s="38" t="s">
        <v>8098</v>
      </c>
      <c r="H82" s="38" t="s">
        <v>8099</v>
      </c>
      <c r="I82" s="37" t="s">
        <v>90</v>
      </c>
      <c r="J82" s="38" t="s">
        <v>8191</v>
      </c>
      <c r="K82" s="38"/>
      <c r="L82" s="39" t="s">
        <v>7972</v>
      </c>
      <c r="M82" s="39" t="s">
        <v>29</v>
      </c>
      <c r="N82" s="38" t="s">
        <v>5255</v>
      </c>
      <c r="O82" s="39"/>
      <c r="P82" s="39"/>
    </row>
    <row r="83" spans="1:16" ht="13.2" customHeight="1" x14ac:dyDescent="0.25">
      <c r="A83" s="37">
        <v>81</v>
      </c>
      <c r="B83" s="38" t="s">
        <v>8192</v>
      </c>
      <c r="C83" s="38"/>
      <c r="D83" s="38" t="s">
        <v>8173</v>
      </c>
      <c r="E83" s="38" t="s">
        <v>8174</v>
      </c>
      <c r="F83" s="38" t="s">
        <v>8175</v>
      </c>
      <c r="G83" s="38" t="s">
        <v>8176</v>
      </c>
      <c r="H83" s="38" t="s">
        <v>8193</v>
      </c>
      <c r="I83" s="37" t="s">
        <v>90</v>
      </c>
      <c r="J83" s="38" t="s">
        <v>8194</v>
      </c>
      <c r="K83" s="38"/>
      <c r="L83" s="39" t="s">
        <v>7621</v>
      </c>
      <c r="M83" s="39" t="s">
        <v>29</v>
      </c>
      <c r="N83" s="38" t="s">
        <v>8195</v>
      </c>
      <c r="O83" s="39"/>
      <c r="P83" s="39"/>
    </row>
    <row r="84" spans="1:16" ht="13.2" customHeight="1" x14ac:dyDescent="0.25">
      <c r="A84" s="37">
        <v>82</v>
      </c>
      <c r="B84" s="38" t="s">
        <v>8196</v>
      </c>
      <c r="C84" s="38"/>
      <c r="D84" s="38" t="s">
        <v>349</v>
      </c>
      <c r="E84" s="38" t="s">
        <v>2950</v>
      </c>
      <c r="F84" s="38" t="s">
        <v>8197</v>
      </c>
      <c r="G84" s="38" t="s">
        <v>3106</v>
      </c>
      <c r="H84" s="38" t="s">
        <v>2949</v>
      </c>
      <c r="I84" s="37" t="s">
        <v>90</v>
      </c>
      <c r="J84" s="38" t="s">
        <v>8198</v>
      </c>
      <c r="K84" s="38"/>
      <c r="L84" s="39" t="s">
        <v>7621</v>
      </c>
      <c r="M84" s="39" t="s">
        <v>29</v>
      </c>
      <c r="N84" s="38" t="s">
        <v>8195</v>
      </c>
      <c r="O84" s="39"/>
      <c r="P84" s="39"/>
    </row>
    <row r="85" spans="1:16" ht="13.2" customHeight="1" x14ac:dyDescent="0.25">
      <c r="A85" s="37">
        <v>83</v>
      </c>
      <c r="B85" s="38" t="s">
        <v>8199</v>
      </c>
      <c r="C85" s="38"/>
      <c r="D85" s="38" t="s">
        <v>3584</v>
      </c>
      <c r="E85" s="38" t="s">
        <v>8200</v>
      </c>
      <c r="F85" s="38" t="s">
        <v>8201</v>
      </c>
      <c r="G85" s="38" t="s">
        <v>8202</v>
      </c>
      <c r="H85" s="38" t="s">
        <v>8203</v>
      </c>
      <c r="I85" s="37" t="s">
        <v>90</v>
      </c>
      <c r="J85" s="38" t="s">
        <v>8204</v>
      </c>
      <c r="K85" s="38"/>
      <c r="L85" s="39" t="s">
        <v>7621</v>
      </c>
      <c r="M85" s="39" t="s">
        <v>29</v>
      </c>
      <c r="N85" s="38" t="s">
        <v>8195</v>
      </c>
      <c r="O85" s="39"/>
      <c r="P85" s="39"/>
    </row>
    <row r="86" spans="1:16" ht="13.2" customHeight="1" x14ac:dyDescent="0.25">
      <c r="A86" s="37">
        <v>84</v>
      </c>
      <c r="B86" s="38" t="s">
        <v>8205</v>
      </c>
      <c r="C86" s="38"/>
      <c r="D86" s="38" t="s">
        <v>8206</v>
      </c>
      <c r="E86" s="38" t="s">
        <v>8207</v>
      </c>
      <c r="F86" s="38" t="s">
        <v>8208</v>
      </c>
      <c r="G86" s="38" t="s">
        <v>8209</v>
      </c>
      <c r="H86" s="38" t="s">
        <v>8210</v>
      </c>
      <c r="I86" s="37" t="s">
        <v>90</v>
      </c>
      <c r="J86" s="38" t="s">
        <v>8211</v>
      </c>
      <c r="K86" s="38"/>
      <c r="L86" s="39" t="s">
        <v>7621</v>
      </c>
      <c r="M86" s="39" t="s">
        <v>29</v>
      </c>
      <c r="N86" s="38" t="s">
        <v>8195</v>
      </c>
      <c r="O86" s="39"/>
      <c r="P86" s="39"/>
    </row>
    <row r="87" spans="1:16" ht="13.2" customHeight="1" x14ac:dyDescent="0.25">
      <c r="A87" s="37">
        <v>85</v>
      </c>
      <c r="B87" s="38" t="s">
        <v>8212</v>
      </c>
      <c r="C87" s="38"/>
      <c r="D87" s="38" t="s">
        <v>8117</v>
      </c>
      <c r="E87" s="38" t="s">
        <v>8213</v>
      </c>
      <c r="F87" s="38" t="s">
        <v>8119</v>
      </c>
      <c r="G87" s="38" t="s">
        <v>8120</v>
      </c>
      <c r="H87" s="38" t="s">
        <v>8214</v>
      </c>
      <c r="I87" s="37" t="s">
        <v>90</v>
      </c>
      <c r="J87" s="38" t="s">
        <v>8215</v>
      </c>
      <c r="K87" s="38"/>
      <c r="L87" s="39" t="s">
        <v>7972</v>
      </c>
      <c r="M87" s="39" t="s">
        <v>29</v>
      </c>
      <c r="N87" s="38" t="s">
        <v>8195</v>
      </c>
      <c r="O87" s="39"/>
      <c r="P87" s="39"/>
    </row>
    <row r="88" spans="1:16" ht="13.2" customHeight="1" x14ac:dyDescent="0.25">
      <c r="A88" s="37">
        <v>86</v>
      </c>
      <c r="B88" s="38" t="s">
        <v>8216</v>
      </c>
      <c r="C88" s="38"/>
      <c r="D88" s="38" t="s">
        <v>8173</v>
      </c>
      <c r="E88" s="38" t="s">
        <v>8174</v>
      </c>
      <c r="F88" s="38" t="s">
        <v>8175</v>
      </c>
      <c r="G88" s="38" t="s">
        <v>8176</v>
      </c>
      <c r="H88" s="38" t="s">
        <v>8193</v>
      </c>
      <c r="I88" s="37" t="s">
        <v>96</v>
      </c>
      <c r="J88" s="38" t="s">
        <v>8217</v>
      </c>
      <c r="K88" s="38"/>
      <c r="L88" s="39" t="s">
        <v>7621</v>
      </c>
      <c r="M88" s="39" t="s">
        <v>29</v>
      </c>
      <c r="N88" s="38" t="s">
        <v>5270</v>
      </c>
      <c r="O88" s="39"/>
      <c r="P88" s="39"/>
    </row>
    <row r="89" spans="1:16" ht="13.2" customHeight="1" x14ac:dyDescent="0.25">
      <c r="A89" s="37">
        <v>87</v>
      </c>
      <c r="B89" s="38" t="s">
        <v>8218</v>
      </c>
      <c r="C89" s="38"/>
      <c r="D89" s="38" t="s">
        <v>8219</v>
      </c>
      <c r="E89" s="38" t="s">
        <v>8220</v>
      </c>
      <c r="F89" s="38" t="s">
        <v>8221</v>
      </c>
      <c r="G89" s="38" t="s">
        <v>8222</v>
      </c>
      <c r="H89" s="38" t="s">
        <v>8223</v>
      </c>
      <c r="I89" s="37" t="s">
        <v>96</v>
      </c>
      <c r="J89" s="38" t="s">
        <v>8224</v>
      </c>
      <c r="K89" s="38"/>
      <c r="L89" s="39" t="s">
        <v>8225</v>
      </c>
      <c r="M89" s="39" t="s">
        <v>29</v>
      </c>
      <c r="N89" s="38" t="s">
        <v>5270</v>
      </c>
      <c r="O89" s="39"/>
      <c r="P89" s="39"/>
    </row>
    <row r="90" spans="1:16" ht="13.2" customHeight="1" x14ac:dyDescent="0.25">
      <c r="A90" s="37">
        <v>88</v>
      </c>
      <c r="B90" s="38" t="s">
        <v>8226</v>
      </c>
      <c r="C90" s="38"/>
      <c r="D90" s="38" t="s">
        <v>8227</v>
      </c>
      <c r="E90" s="38" t="s">
        <v>8228</v>
      </c>
      <c r="F90" s="38" t="s">
        <v>8229</v>
      </c>
      <c r="G90" s="38" t="s">
        <v>8230</v>
      </c>
      <c r="H90" s="38" t="s">
        <v>8231</v>
      </c>
      <c r="I90" s="37" t="s">
        <v>96</v>
      </c>
      <c r="J90" s="38" t="s">
        <v>8232</v>
      </c>
      <c r="K90" s="38"/>
      <c r="L90" s="39" t="s">
        <v>7621</v>
      </c>
      <c r="M90" s="39" t="s">
        <v>29</v>
      </c>
      <c r="N90" s="38" t="s">
        <v>5270</v>
      </c>
      <c r="O90" s="39"/>
      <c r="P90" s="39"/>
    </row>
    <row r="91" spans="1:16" ht="13.2" customHeight="1" x14ac:dyDescent="0.25">
      <c r="A91" s="37">
        <v>89</v>
      </c>
      <c r="B91" s="38" t="s">
        <v>8233</v>
      </c>
      <c r="C91" s="38"/>
      <c r="D91" s="38" t="s">
        <v>8234</v>
      </c>
      <c r="E91" s="38" t="s">
        <v>8235</v>
      </c>
      <c r="F91" s="38" t="s">
        <v>8236</v>
      </c>
      <c r="G91" s="38" t="s">
        <v>8237</v>
      </c>
      <c r="H91" s="38" t="s">
        <v>8238</v>
      </c>
      <c r="I91" s="37" t="s">
        <v>96</v>
      </c>
      <c r="J91" s="38" t="s">
        <v>8239</v>
      </c>
      <c r="K91" s="38"/>
      <c r="L91" s="39" t="s">
        <v>7621</v>
      </c>
      <c r="M91" s="39" t="s">
        <v>29</v>
      </c>
      <c r="N91" s="38" t="s">
        <v>5270</v>
      </c>
      <c r="O91" s="39"/>
      <c r="P91" s="39"/>
    </row>
    <row r="92" spans="1:16" ht="13.2" customHeight="1" x14ac:dyDescent="0.25">
      <c r="A92" s="37">
        <v>90</v>
      </c>
      <c r="B92" s="38" t="s">
        <v>8240</v>
      </c>
      <c r="C92" s="38"/>
      <c r="D92" s="38" t="s">
        <v>8241</v>
      </c>
      <c r="E92" s="38" t="s">
        <v>8242</v>
      </c>
      <c r="F92" s="38" t="s">
        <v>8243</v>
      </c>
      <c r="G92" s="38" t="s">
        <v>8244</v>
      </c>
      <c r="H92" s="38" t="s">
        <v>8245</v>
      </c>
      <c r="I92" s="37" t="s">
        <v>96</v>
      </c>
      <c r="J92" s="38" t="s">
        <v>8246</v>
      </c>
      <c r="K92" s="38"/>
      <c r="L92" s="39" t="s">
        <v>7972</v>
      </c>
      <c r="M92" s="39" t="s">
        <v>29</v>
      </c>
      <c r="N92" s="38" t="s">
        <v>5270</v>
      </c>
      <c r="O92" s="39"/>
      <c r="P92" s="39"/>
    </row>
    <row r="93" spans="1:16" ht="13.2" customHeight="1" x14ac:dyDescent="0.25">
      <c r="A93" s="37">
        <v>91</v>
      </c>
      <c r="B93" s="38" t="s">
        <v>8247</v>
      </c>
      <c r="C93" s="38"/>
      <c r="D93" s="38" t="s">
        <v>8173</v>
      </c>
      <c r="E93" s="38" t="s">
        <v>8248</v>
      </c>
      <c r="F93" s="38" t="s">
        <v>8175</v>
      </c>
      <c r="G93" s="38" t="s">
        <v>8176</v>
      </c>
      <c r="H93" s="38" t="s">
        <v>8193</v>
      </c>
      <c r="I93" s="37" t="s">
        <v>123</v>
      </c>
      <c r="J93" s="38" t="s">
        <v>8249</v>
      </c>
      <c r="K93" s="38"/>
      <c r="L93" s="39" t="s">
        <v>7621</v>
      </c>
      <c r="M93" s="39" t="s">
        <v>29</v>
      </c>
      <c r="N93" s="38" t="s">
        <v>1733</v>
      </c>
      <c r="O93" s="39"/>
      <c r="P93" s="39"/>
    </row>
    <row r="94" spans="1:16" ht="13.2" customHeight="1" x14ac:dyDescent="0.25">
      <c r="A94" s="37">
        <v>92</v>
      </c>
      <c r="B94" s="38" t="s">
        <v>8250</v>
      </c>
      <c r="C94" s="38"/>
      <c r="D94" s="38" t="s">
        <v>8251</v>
      </c>
      <c r="E94" s="38" t="s">
        <v>8252</v>
      </c>
      <c r="F94" s="38" t="s">
        <v>8253</v>
      </c>
      <c r="G94" s="38" t="s">
        <v>8254</v>
      </c>
      <c r="H94" s="38" t="s">
        <v>8255</v>
      </c>
      <c r="I94" s="37" t="s">
        <v>123</v>
      </c>
      <c r="J94" s="38" t="s">
        <v>8256</v>
      </c>
      <c r="K94" s="38"/>
      <c r="L94" s="39" t="s">
        <v>8225</v>
      </c>
      <c r="M94" s="39" t="s">
        <v>29</v>
      </c>
      <c r="N94" s="38" t="s">
        <v>1733</v>
      </c>
      <c r="O94" s="39"/>
      <c r="P94" s="39"/>
    </row>
    <row r="95" spans="1:16" ht="13.2" customHeight="1" x14ac:dyDescent="0.25">
      <c r="A95" s="37">
        <v>93</v>
      </c>
      <c r="B95" s="38" t="s">
        <v>8257</v>
      </c>
      <c r="C95" s="38"/>
      <c r="D95" s="38" t="s">
        <v>8258</v>
      </c>
      <c r="E95" s="38" t="s">
        <v>8259</v>
      </c>
      <c r="F95" s="38" t="s">
        <v>8260</v>
      </c>
      <c r="G95" s="38" t="s">
        <v>8261</v>
      </c>
      <c r="H95" s="38" t="s">
        <v>8262</v>
      </c>
      <c r="I95" s="37" t="s">
        <v>123</v>
      </c>
      <c r="J95" s="38" t="s">
        <v>8263</v>
      </c>
      <c r="K95" s="38"/>
      <c r="L95" s="39" t="s">
        <v>516</v>
      </c>
      <c r="M95" s="39" t="s">
        <v>29</v>
      </c>
      <c r="N95" s="38" t="s">
        <v>1733</v>
      </c>
      <c r="O95" s="39"/>
      <c r="P95" s="39"/>
    </row>
    <row r="96" spans="1:16" ht="13.2" customHeight="1" x14ac:dyDescent="0.25">
      <c r="A96" s="37">
        <v>94</v>
      </c>
      <c r="B96" s="38" t="s">
        <v>8264</v>
      </c>
      <c r="C96" s="38"/>
      <c r="D96" s="38" t="s">
        <v>8265</v>
      </c>
      <c r="E96" s="38" t="s">
        <v>8266</v>
      </c>
      <c r="F96" s="38" t="s">
        <v>8267</v>
      </c>
      <c r="G96" s="38" t="s">
        <v>8268</v>
      </c>
      <c r="H96" s="38" t="s">
        <v>8269</v>
      </c>
      <c r="I96" s="37" t="s">
        <v>123</v>
      </c>
      <c r="J96" s="38" t="s">
        <v>8270</v>
      </c>
      <c r="K96" s="38"/>
      <c r="L96" s="39" t="s">
        <v>7621</v>
      </c>
      <c r="M96" s="39" t="s">
        <v>29</v>
      </c>
      <c r="N96" s="38" t="s">
        <v>1733</v>
      </c>
      <c r="O96" s="39"/>
      <c r="P96" s="39"/>
    </row>
    <row r="97" spans="1:16" ht="13.2" customHeight="1" x14ac:dyDescent="0.25">
      <c r="A97" s="37">
        <v>95</v>
      </c>
      <c r="B97" s="38" t="s">
        <v>8271</v>
      </c>
      <c r="C97" s="38"/>
      <c r="D97" s="38" t="s">
        <v>8272</v>
      </c>
      <c r="E97" s="38" t="s">
        <v>8273</v>
      </c>
      <c r="F97" s="38" t="s">
        <v>8274</v>
      </c>
      <c r="G97" s="38" t="s">
        <v>8275</v>
      </c>
      <c r="H97" s="38" t="s">
        <v>8276</v>
      </c>
      <c r="I97" s="37" t="s">
        <v>123</v>
      </c>
      <c r="J97" s="38" t="s">
        <v>8277</v>
      </c>
      <c r="K97" s="38"/>
      <c r="L97" s="39" t="s">
        <v>7621</v>
      </c>
      <c r="M97" s="39" t="s">
        <v>29</v>
      </c>
      <c r="N97" s="38" t="s">
        <v>1733</v>
      </c>
      <c r="O97" s="39"/>
      <c r="P97" s="39"/>
    </row>
    <row r="98" spans="1:16" ht="13.2" customHeight="1" x14ac:dyDescent="0.25">
      <c r="A98" s="37">
        <v>96</v>
      </c>
      <c r="B98" s="38" t="s">
        <v>8278</v>
      </c>
      <c r="C98" s="38"/>
      <c r="D98" s="38" t="s">
        <v>8279</v>
      </c>
      <c r="E98" s="38" t="s">
        <v>542</v>
      </c>
      <c r="F98" s="38" t="s">
        <v>8280</v>
      </c>
      <c r="G98" s="38" t="s">
        <v>6585</v>
      </c>
      <c r="H98" s="38" t="s">
        <v>8281</v>
      </c>
      <c r="I98" s="37" t="s">
        <v>113</v>
      </c>
      <c r="J98" s="38" t="s">
        <v>8282</v>
      </c>
      <c r="K98" s="38"/>
      <c r="L98" s="39" t="s">
        <v>7621</v>
      </c>
      <c r="M98" s="39" t="s">
        <v>29</v>
      </c>
      <c r="N98" s="38" t="s">
        <v>8283</v>
      </c>
      <c r="O98" s="39"/>
      <c r="P98" s="39"/>
    </row>
    <row r="99" spans="1:16" ht="13.2" customHeight="1" x14ac:dyDescent="0.25">
      <c r="A99" s="37">
        <v>97</v>
      </c>
      <c r="B99" s="38" t="s">
        <v>8284</v>
      </c>
      <c r="C99" s="38"/>
      <c r="D99" s="38" t="s">
        <v>8285</v>
      </c>
      <c r="E99" s="38" t="s">
        <v>8286</v>
      </c>
      <c r="F99" s="38" t="s">
        <v>8287</v>
      </c>
      <c r="G99" s="38" t="s">
        <v>8288</v>
      </c>
      <c r="H99" s="38" t="s">
        <v>8289</v>
      </c>
      <c r="I99" s="37" t="s">
        <v>113</v>
      </c>
      <c r="J99" s="38" t="s">
        <v>8290</v>
      </c>
      <c r="K99" s="38"/>
      <c r="L99" s="39" t="s">
        <v>8225</v>
      </c>
      <c r="M99" s="39" t="s">
        <v>29</v>
      </c>
      <c r="N99" s="38" t="s">
        <v>8283</v>
      </c>
      <c r="O99" s="39"/>
      <c r="P99" s="39"/>
    </row>
    <row r="100" spans="1:16" ht="13.2" customHeight="1" x14ac:dyDescent="0.25">
      <c r="A100" s="37">
        <v>98</v>
      </c>
      <c r="B100" s="38" t="s">
        <v>8291</v>
      </c>
      <c r="C100" s="38"/>
      <c r="D100" s="38" t="s">
        <v>8292</v>
      </c>
      <c r="E100" s="38" t="s">
        <v>8293</v>
      </c>
      <c r="F100" s="38" t="s">
        <v>8294</v>
      </c>
      <c r="G100" s="38" t="s">
        <v>8295</v>
      </c>
      <c r="H100" s="38" t="s">
        <v>8296</v>
      </c>
      <c r="I100" s="37" t="s">
        <v>113</v>
      </c>
      <c r="J100" s="38" t="s">
        <v>8297</v>
      </c>
      <c r="K100" s="38"/>
      <c r="L100" s="39" t="s">
        <v>7621</v>
      </c>
      <c r="M100" s="39" t="s">
        <v>29</v>
      </c>
      <c r="N100" s="38" t="s">
        <v>8283</v>
      </c>
      <c r="O100" s="39"/>
      <c r="P100" s="39"/>
    </row>
    <row r="101" spans="1:16" ht="13.2" customHeight="1" x14ac:dyDescent="0.25">
      <c r="A101" s="37">
        <v>99</v>
      </c>
      <c r="B101" s="38" t="s">
        <v>8298</v>
      </c>
      <c r="C101" s="38"/>
      <c r="D101" s="38" t="s">
        <v>8299</v>
      </c>
      <c r="E101" s="38" t="s">
        <v>8300</v>
      </c>
      <c r="F101" s="38" t="s">
        <v>8301</v>
      </c>
      <c r="G101" s="38" t="s">
        <v>8302</v>
      </c>
      <c r="H101" s="38" t="s">
        <v>799</v>
      </c>
      <c r="I101" s="37" t="s">
        <v>113</v>
      </c>
      <c r="J101" s="38" t="s">
        <v>8303</v>
      </c>
      <c r="K101" s="38"/>
      <c r="L101" s="39" t="s">
        <v>7621</v>
      </c>
      <c r="M101" s="39" t="s">
        <v>29</v>
      </c>
      <c r="N101" s="38" t="s">
        <v>8283</v>
      </c>
      <c r="O101" s="39"/>
      <c r="P101" s="39"/>
    </row>
    <row r="102" spans="1:16" ht="13.2" customHeight="1" x14ac:dyDescent="0.25">
      <c r="A102" s="37">
        <v>100</v>
      </c>
      <c r="B102" s="38" t="s">
        <v>8304</v>
      </c>
      <c r="C102" s="38"/>
      <c r="D102" s="38" t="s">
        <v>5408</v>
      </c>
      <c r="E102" s="38" t="s">
        <v>5404</v>
      </c>
      <c r="F102" s="38" t="s">
        <v>5405</v>
      </c>
      <c r="G102" s="38" t="s">
        <v>8098</v>
      </c>
      <c r="H102" s="38" t="s">
        <v>8099</v>
      </c>
      <c r="I102" s="37" t="s">
        <v>113</v>
      </c>
      <c r="J102" s="38" t="s">
        <v>8305</v>
      </c>
      <c r="K102" s="38"/>
      <c r="L102" s="39" t="s">
        <v>7972</v>
      </c>
      <c r="M102" s="39" t="s">
        <v>29</v>
      </c>
      <c r="N102" s="38" t="s">
        <v>8283</v>
      </c>
      <c r="O102" s="39"/>
      <c r="P102" s="39"/>
    </row>
    <row r="103" spans="1:16" ht="13.2" customHeight="1" x14ac:dyDescent="0.25">
      <c r="A103" s="37">
        <v>101</v>
      </c>
      <c r="B103" s="38" t="s">
        <v>8306</v>
      </c>
      <c r="C103" s="38"/>
      <c r="D103" s="38" t="s">
        <v>904</v>
      </c>
      <c r="E103" s="38" t="s">
        <v>4545</v>
      </c>
      <c r="F103" s="38" t="s">
        <v>8307</v>
      </c>
      <c r="G103" s="38" t="s">
        <v>8308</v>
      </c>
      <c r="H103" s="38" t="s">
        <v>8149</v>
      </c>
      <c r="I103" s="37" t="s">
        <v>113</v>
      </c>
      <c r="J103" s="38" t="s">
        <v>8309</v>
      </c>
      <c r="K103" s="38"/>
      <c r="L103" s="39" t="s">
        <v>7621</v>
      </c>
      <c r="M103" s="39" t="s">
        <v>29</v>
      </c>
      <c r="N103" s="38" t="s">
        <v>7068</v>
      </c>
      <c r="O103" s="39"/>
      <c r="P103" s="39"/>
    </row>
    <row r="104" spans="1:16" ht="13.2" customHeight="1" x14ac:dyDescent="0.25">
      <c r="A104" s="37">
        <v>102</v>
      </c>
      <c r="B104" s="38" t="s">
        <v>8310</v>
      </c>
      <c r="C104" s="38"/>
      <c r="D104" s="38" t="s">
        <v>8311</v>
      </c>
      <c r="E104" s="38" t="s">
        <v>8312</v>
      </c>
      <c r="F104" s="38" t="s">
        <v>8313</v>
      </c>
      <c r="G104" s="38" t="s">
        <v>8314</v>
      </c>
      <c r="H104" s="38" t="s">
        <v>8315</v>
      </c>
      <c r="I104" s="37" t="s">
        <v>113</v>
      </c>
      <c r="J104" s="38" t="s">
        <v>8316</v>
      </c>
      <c r="K104" s="38"/>
      <c r="L104" s="39" t="s">
        <v>8225</v>
      </c>
      <c r="M104" s="39" t="s">
        <v>29</v>
      </c>
      <c r="N104" s="38" t="s">
        <v>7068</v>
      </c>
      <c r="O104" s="39"/>
      <c r="P104" s="39"/>
    </row>
    <row r="105" spans="1:16" ht="13.2" customHeight="1" x14ac:dyDescent="0.25">
      <c r="A105" s="37">
        <v>103</v>
      </c>
      <c r="B105" s="38" t="s">
        <v>8317</v>
      </c>
      <c r="C105" s="38"/>
      <c r="D105" s="38" t="s">
        <v>8318</v>
      </c>
      <c r="E105" s="38" t="s">
        <v>8138</v>
      </c>
      <c r="F105" s="38" t="s">
        <v>8137</v>
      </c>
      <c r="G105" s="38" t="s">
        <v>8136</v>
      </c>
      <c r="H105" s="38" t="s">
        <v>8319</v>
      </c>
      <c r="I105" s="37" t="s">
        <v>113</v>
      </c>
      <c r="J105" s="38" t="s">
        <v>8320</v>
      </c>
      <c r="K105" s="38"/>
      <c r="L105" s="39" t="s">
        <v>7621</v>
      </c>
      <c r="M105" s="39" t="s">
        <v>29</v>
      </c>
      <c r="N105" s="38" t="s">
        <v>7068</v>
      </c>
      <c r="O105" s="39"/>
      <c r="P105" s="39"/>
    </row>
    <row r="106" spans="1:16" ht="13.2" customHeight="1" x14ac:dyDescent="0.25">
      <c r="A106" s="37">
        <v>104</v>
      </c>
      <c r="B106" s="38" t="s">
        <v>8321</v>
      </c>
      <c r="C106" s="38"/>
      <c r="D106" s="38" t="s">
        <v>8117</v>
      </c>
      <c r="E106" s="38" t="s">
        <v>8118</v>
      </c>
      <c r="F106" s="38" t="s">
        <v>8119</v>
      </c>
      <c r="G106" s="38" t="s">
        <v>8322</v>
      </c>
      <c r="H106" s="38" t="s">
        <v>8323</v>
      </c>
      <c r="I106" s="37" t="s">
        <v>113</v>
      </c>
      <c r="J106" s="38" t="s">
        <v>8324</v>
      </c>
      <c r="K106" s="38"/>
      <c r="L106" s="39" t="s">
        <v>7621</v>
      </c>
      <c r="M106" s="39" t="s">
        <v>29</v>
      </c>
      <c r="N106" s="38" t="s">
        <v>7068</v>
      </c>
      <c r="O106" s="39"/>
      <c r="P106" s="39"/>
    </row>
    <row r="107" spans="1:16" ht="13.2" customHeight="1" x14ac:dyDescent="0.25">
      <c r="A107" s="37">
        <v>105</v>
      </c>
      <c r="B107" s="38" t="s">
        <v>8325</v>
      </c>
      <c r="C107" s="38"/>
      <c r="D107" s="38" t="s">
        <v>8326</v>
      </c>
      <c r="E107" s="38" t="s">
        <v>2722</v>
      </c>
      <c r="F107" s="38" t="s">
        <v>2968</v>
      </c>
      <c r="G107" s="38" t="s">
        <v>2721</v>
      </c>
      <c r="H107" s="38" t="s">
        <v>8327</v>
      </c>
      <c r="I107" s="37" t="s">
        <v>90</v>
      </c>
      <c r="J107" s="38" t="s">
        <v>8328</v>
      </c>
      <c r="K107" s="38"/>
      <c r="L107" s="39" t="s">
        <v>7621</v>
      </c>
      <c r="M107" s="39" t="s">
        <v>29</v>
      </c>
      <c r="N107" s="38" t="s">
        <v>735</v>
      </c>
      <c r="O107" s="39"/>
      <c r="P107" s="39"/>
    </row>
    <row r="108" spans="1:16" ht="13.2" customHeight="1" x14ac:dyDescent="0.25">
      <c r="A108" s="37">
        <v>106</v>
      </c>
      <c r="B108" s="38" t="s">
        <v>8329</v>
      </c>
      <c r="C108" s="38"/>
      <c r="D108" s="38" t="s">
        <v>2973</v>
      </c>
      <c r="E108" s="38" t="s">
        <v>8330</v>
      </c>
      <c r="F108" s="38" t="s">
        <v>8331</v>
      </c>
      <c r="G108" s="38" t="s">
        <v>2976</v>
      </c>
      <c r="H108" s="38" t="s">
        <v>2977</v>
      </c>
      <c r="I108" s="37" t="s">
        <v>90</v>
      </c>
      <c r="J108" s="38" t="s">
        <v>8332</v>
      </c>
      <c r="K108" s="38"/>
      <c r="L108" s="39" t="s">
        <v>7621</v>
      </c>
      <c r="M108" s="39" t="s">
        <v>29</v>
      </c>
      <c r="N108" s="38" t="s">
        <v>735</v>
      </c>
      <c r="O108" s="39"/>
      <c r="P108" s="39"/>
    </row>
    <row r="109" spans="1:16" ht="13.2" customHeight="1" x14ac:dyDescent="0.25">
      <c r="A109" s="37">
        <v>107</v>
      </c>
      <c r="B109" s="38" t="s">
        <v>8333</v>
      </c>
      <c r="C109" s="38"/>
      <c r="D109" s="38" t="s">
        <v>8334</v>
      </c>
      <c r="E109" s="38" t="s">
        <v>8335</v>
      </c>
      <c r="F109" s="38" t="s">
        <v>8336</v>
      </c>
      <c r="G109" s="38" t="s">
        <v>8337</v>
      </c>
      <c r="H109" s="38" t="s">
        <v>8338</v>
      </c>
      <c r="I109" s="37" t="s">
        <v>90</v>
      </c>
      <c r="J109" s="38" t="s">
        <v>8339</v>
      </c>
      <c r="K109" s="38"/>
      <c r="L109" s="39" t="s">
        <v>7621</v>
      </c>
      <c r="M109" s="39" t="s">
        <v>29</v>
      </c>
      <c r="N109" s="38" t="s">
        <v>735</v>
      </c>
      <c r="O109" s="39"/>
      <c r="P109" s="39"/>
    </row>
    <row r="110" spans="1:16" ht="13.2" customHeight="1" x14ac:dyDescent="0.25">
      <c r="A110" s="37">
        <v>108</v>
      </c>
      <c r="B110" s="38" t="s">
        <v>8340</v>
      </c>
      <c r="C110" s="38"/>
      <c r="D110" s="38" t="s">
        <v>8341</v>
      </c>
      <c r="E110" s="38" t="s">
        <v>8342</v>
      </c>
      <c r="F110" s="38" t="s">
        <v>8343</v>
      </c>
      <c r="G110" s="38" t="s">
        <v>8344</v>
      </c>
      <c r="H110" s="38" t="s">
        <v>8345</v>
      </c>
      <c r="I110" s="37" t="s">
        <v>90</v>
      </c>
      <c r="J110" s="38" t="s">
        <v>8346</v>
      </c>
      <c r="K110" s="38"/>
      <c r="L110" s="39" t="s">
        <v>7972</v>
      </c>
      <c r="M110" s="39" t="s">
        <v>29</v>
      </c>
      <c r="N110" s="38" t="s">
        <v>735</v>
      </c>
      <c r="O110" s="39"/>
      <c r="P110" s="39"/>
    </row>
    <row r="111" spans="1:16" ht="13.2" customHeight="1" x14ac:dyDescent="0.25">
      <c r="A111" s="37">
        <v>109</v>
      </c>
      <c r="B111" s="38" t="s">
        <v>8347</v>
      </c>
      <c r="C111" s="38"/>
      <c r="D111" s="38" t="s">
        <v>6523</v>
      </c>
      <c r="E111" s="38" t="s">
        <v>2966</v>
      </c>
      <c r="F111" s="38" t="s">
        <v>2968</v>
      </c>
      <c r="G111" s="38" t="s">
        <v>8348</v>
      </c>
      <c r="H111" s="38" t="s">
        <v>2725</v>
      </c>
      <c r="I111" s="37" t="s">
        <v>90</v>
      </c>
      <c r="J111" s="38" t="s">
        <v>8349</v>
      </c>
      <c r="K111" s="38"/>
      <c r="L111" s="39" t="s">
        <v>7621</v>
      </c>
      <c r="M111" s="39" t="s">
        <v>29</v>
      </c>
      <c r="N111" s="38" t="s">
        <v>8350</v>
      </c>
      <c r="O111" s="39"/>
      <c r="P111" s="39"/>
    </row>
    <row r="112" spans="1:16" ht="13.2" customHeight="1" x14ac:dyDescent="0.25">
      <c r="A112" s="37">
        <v>110</v>
      </c>
      <c r="B112" s="38" t="s">
        <v>8351</v>
      </c>
      <c r="C112" s="38"/>
      <c r="D112" s="38" t="s">
        <v>2981</v>
      </c>
      <c r="E112" s="38" t="s">
        <v>2982</v>
      </c>
      <c r="F112" s="38" t="s">
        <v>2983</v>
      </c>
      <c r="G112" s="38" t="s">
        <v>2984</v>
      </c>
      <c r="H112" s="38" t="s">
        <v>2985</v>
      </c>
      <c r="I112" s="37" t="s">
        <v>90</v>
      </c>
      <c r="J112" s="38" t="s">
        <v>8352</v>
      </c>
      <c r="K112" s="38"/>
      <c r="L112" s="39" t="s">
        <v>7630</v>
      </c>
      <c r="M112" s="39" t="s">
        <v>29</v>
      </c>
      <c r="N112" s="38" t="s">
        <v>8350</v>
      </c>
      <c r="O112" s="39"/>
      <c r="P112" s="39"/>
    </row>
    <row r="113" spans="1:16" ht="13.2" customHeight="1" x14ac:dyDescent="0.25">
      <c r="A113" s="37">
        <v>111</v>
      </c>
      <c r="B113" s="38" t="s">
        <v>8353</v>
      </c>
      <c r="C113" s="38"/>
      <c r="D113" s="38" t="s">
        <v>8354</v>
      </c>
      <c r="E113" s="38" t="s">
        <v>8355</v>
      </c>
      <c r="F113" s="38" t="s">
        <v>8356</v>
      </c>
      <c r="G113" s="38" t="s">
        <v>8357</v>
      </c>
      <c r="H113" s="38" t="s">
        <v>8358</v>
      </c>
      <c r="I113" s="37" t="s">
        <v>90</v>
      </c>
      <c r="J113" s="38" t="s">
        <v>8359</v>
      </c>
      <c r="K113" s="38"/>
      <c r="L113" s="39" t="s">
        <v>7621</v>
      </c>
      <c r="M113" s="39" t="s">
        <v>29</v>
      </c>
      <c r="N113" s="38" t="s">
        <v>8350</v>
      </c>
      <c r="O113" s="39"/>
      <c r="P113" s="39"/>
    </row>
    <row r="114" spans="1:16" ht="13.2" customHeight="1" x14ac:dyDescent="0.25">
      <c r="A114" s="37">
        <v>112</v>
      </c>
      <c r="B114" s="38" t="s">
        <v>8360</v>
      </c>
      <c r="C114" s="38"/>
      <c r="D114" s="38" t="s">
        <v>8361</v>
      </c>
      <c r="E114" s="38" t="s">
        <v>7975</v>
      </c>
      <c r="F114" s="38" t="s">
        <v>8362</v>
      </c>
      <c r="G114" s="38" t="s">
        <v>8363</v>
      </c>
      <c r="H114" s="38" t="s">
        <v>7976</v>
      </c>
      <c r="I114" s="37" t="s">
        <v>90</v>
      </c>
      <c r="J114" s="38" t="s">
        <v>8364</v>
      </c>
      <c r="K114" s="38"/>
      <c r="L114" s="39" t="s">
        <v>7972</v>
      </c>
      <c r="M114" s="39" t="s">
        <v>29</v>
      </c>
      <c r="N114" s="38" t="s">
        <v>8350</v>
      </c>
      <c r="O114" s="39"/>
      <c r="P114" s="39"/>
    </row>
    <row r="115" spans="1:16" ht="13.2" customHeight="1" x14ac:dyDescent="0.25">
      <c r="A115" s="37">
        <v>113</v>
      </c>
      <c r="B115" s="38" t="s">
        <v>8365</v>
      </c>
      <c r="C115" s="38"/>
      <c r="D115" s="38" t="s">
        <v>8366</v>
      </c>
      <c r="E115" s="38" t="s">
        <v>8367</v>
      </c>
      <c r="F115" s="38" t="s">
        <v>8368</v>
      </c>
      <c r="G115" s="38" t="s">
        <v>8369</v>
      </c>
      <c r="H115" s="38" t="s">
        <v>5525</v>
      </c>
      <c r="I115" s="37" t="s">
        <v>96</v>
      </c>
      <c r="J115" s="38" t="s">
        <v>8370</v>
      </c>
      <c r="K115" s="38"/>
      <c r="L115" s="39" t="s">
        <v>7621</v>
      </c>
      <c r="M115" s="39" t="s">
        <v>29</v>
      </c>
      <c r="N115" s="38" t="s">
        <v>8371</v>
      </c>
      <c r="O115" s="39"/>
      <c r="P115" s="39"/>
    </row>
    <row r="116" spans="1:16" ht="13.2" customHeight="1" x14ac:dyDescent="0.25">
      <c r="A116" s="37">
        <v>114</v>
      </c>
      <c r="B116" s="38" t="s">
        <v>2989</v>
      </c>
      <c r="C116" s="38"/>
      <c r="D116" s="38" t="s">
        <v>8372</v>
      </c>
      <c r="E116" s="38" t="s">
        <v>2991</v>
      </c>
      <c r="F116" s="38" t="s">
        <v>8373</v>
      </c>
      <c r="G116" s="38" t="s">
        <v>2993</v>
      </c>
      <c r="H116" s="38" t="s">
        <v>2994</v>
      </c>
      <c r="I116" s="37" t="s">
        <v>96</v>
      </c>
      <c r="J116" s="38" t="s">
        <v>8374</v>
      </c>
      <c r="K116" s="38"/>
      <c r="L116" s="39" t="s">
        <v>7621</v>
      </c>
      <c r="M116" s="39" t="s">
        <v>29</v>
      </c>
      <c r="N116" s="38" t="s">
        <v>8371</v>
      </c>
      <c r="O116" s="39"/>
      <c r="P116" s="39"/>
    </row>
    <row r="117" spans="1:16" ht="13.2" customHeight="1" x14ac:dyDescent="0.25">
      <c r="A117" s="37">
        <v>115</v>
      </c>
      <c r="B117" s="38" t="s">
        <v>8375</v>
      </c>
      <c r="C117" s="38"/>
      <c r="D117" s="38" t="s">
        <v>8376</v>
      </c>
      <c r="E117" s="38" t="s">
        <v>8377</v>
      </c>
      <c r="F117" s="38" t="s">
        <v>8378</v>
      </c>
      <c r="G117" s="38" t="s">
        <v>8379</v>
      </c>
      <c r="H117" s="38" t="s">
        <v>8377</v>
      </c>
      <c r="I117" s="37" t="s">
        <v>96</v>
      </c>
      <c r="J117" s="38" t="s">
        <v>8380</v>
      </c>
      <c r="K117" s="38"/>
      <c r="L117" s="39" t="s">
        <v>7856</v>
      </c>
      <c r="M117" s="39" t="s">
        <v>29</v>
      </c>
      <c r="N117" s="38" t="s">
        <v>8371</v>
      </c>
      <c r="O117" s="39"/>
      <c r="P117" s="39"/>
    </row>
    <row r="118" spans="1:16" ht="13.2" customHeight="1" x14ac:dyDescent="0.25">
      <c r="A118" s="37">
        <v>116</v>
      </c>
      <c r="B118" s="38" t="s">
        <v>8381</v>
      </c>
      <c r="C118" s="38"/>
      <c r="D118" s="38" t="s">
        <v>2966</v>
      </c>
      <c r="E118" s="38" t="s">
        <v>2968</v>
      </c>
      <c r="F118" s="38" t="s">
        <v>8348</v>
      </c>
      <c r="G118" s="38" t="s">
        <v>2725</v>
      </c>
      <c r="H118" s="38" t="s">
        <v>2967</v>
      </c>
      <c r="I118" s="37" t="s">
        <v>123</v>
      </c>
      <c r="J118" s="38" t="s">
        <v>8382</v>
      </c>
      <c r="K118" s="38"/>
      <c r="L118" s="39" t="s">
        <v>7621</v>
      </c>
      <c r="M118" s="39" t="s">
        <v>29</v>
      </c>
      <c r="N118" s="38" t="s">
        <v>7097</v>
      </c>
      <c r="O118" s="39"/>
      <c r="P118" s="39"/>
    </row>
    <row r="119" spans="1:16" ht="13.2" customHeight="1" x14ac:dyDescent="0.25">
      <c r="A119" s="37">
        <v>117</v>
      </c>
      <c r="B119" s="38" t="s">
        <v>8383</v>
      </c>
      <c r="C119" s="38"/>
      <c r="D119" s="38" t="s">
        <v>349</v>
      </c>
      <c r="E119" s="38" t="s">
        <v>2950</v>
      </c>
      <c r="F119" s="38" t="s">
        <v>8197</v>
      </c>
      <c r="G119" s="38" t="s">
        <v>8384</v>
      </c>
      <c r="H119" s="38" t="s">
        <v>8385</v>
      </c>
      <c r="I119" s="37" t="s">
        <v>123</v>
      </c>
      <c r="J119" s="38" t="s">
        <v>8386</v>
      </c>
      <c r="K119" s="38"/>
      <c r="L119" s="39" t="s">
        <v>7621</v>
      </c>
      <c r="M119" s="39" t="s">
        <v>29</v>
      </c>
      <c r="N119" s="38" t="s">
        <v>7097</v>
      </c>
      <c r="O119" s="39"/>
      <c r="P119" s="39"/>
    </row>
    <row r="120" spans="1:16" ht="13.2" customHeight="1" x14ac:dyDescent="0.25">
      <c r="A120" s="37">
        <v>118</v>
      </c>
      <c r="B120" s="38" t="s">
        <v>8387</v>
      </c>
      <c r="C120" s="38"/>
      <c r="D120" s="38" t="s">
        <v>8388</v>
      </c>
      <c r="E120" s="38" t="s">
        <v>8389</v>
      </c>
      <c r="F120" s="38" t="s">
        <v>8390</v>
      </c>
      <c r="G120" s="38" t="s">
        <v>8391</v>
      </c>
      <c r="H120" s="38" t="s">
        <v>8392</v>
      </c>
      <c r="I120" s="37" t="s">
        <v>123</v>
      </c>
      <c r="J120" s="38" t="s">
        <v>8393</v>
      </c>
      <c r="K120" s="38"/>
      <c r="L120" s="39" t="s">
        <v>7621</v>
      </c>
      <c r="M120" s="39" t="s">
        <v>29</v>
      </c>
      <c r="N120" s="38" t="s">
        <v>7097</v>
      </c>
      <c r="O120" s="39"/>
      <c r="P120" s="39"/>
    </row>
    <row r="121" spans="1:16" ht="13.2" customHeight="1" x14ac:dyDescent="0.25">
      <c r="A121" s="37">
        <v>119</v>
      </c>
      <c r="B121" s="38" t="s">
        <v>8394</v>
      </c>
      <c r="C121" s="38"/>
      <c r="D121" s="38" t="s">
        <v>2725</v>
      </c>
      <c r="E121" s="38" t="s">
        <v>2967</v>
      </c>
      <c r="F121" s="38" t="s">
        <v>2721</v>
      </c>
      <c r="G121" s="38" t="s">
        <v>4027</v>
      </c>
      <c r="H121" s="38" t="s">
        <v>8395</v>
      </c>
      <c r="I121" s="37" t="s">
        <v>113</v>
      </c>
      <c r="J121" s="38" t="s">
        <v>8396</v>
      </c>
      <c r="K121" s="38"/>
      <c r="L121" s="39" t="s">
        <v>7621</v>
      </c>
      <c r="M121" s="39" t="s">
        <v>29</v>
      </c>
      <c r="N121" s="38" t="s">
        <v>6544</v>
      </c>
      <c r="O121" s="39"/>
      <c r="P121" s="39"/>
    </row>
    <row r="122" spans="1:16" ht="13.2" customHeight="1" x14ac:dyDescent="0.25">
      <c r="A122" s="37">
        <v>120</v>
      </c>
      <c r="B122" s="38" t="s">
        <v>8397</v>
      </c>
      <c r="C122" s="38"/>
      <c r="D122" s="38" t="s">
        <v>8398</v>
      </c>
      <c r="E122" s="38" t="s">
        <v>8399</v>
      </c>
      <c r="F122" s="38" t="s">
        <v>8400</v>
      </c>
      <c r="G122" s="38" t="s">
        <v>8401</v>
      </c>
      <c r="H122" s="38" t="s">
        <v>8402</v>
      </c>
      <c r="I122" s="37" t="s">
        <v>113</v>
      </c>
      <c r="J122" s="38" t="s">
        <v>8403</v>
      </c>
      <c r="K122" s="38"/>
      <c r="L122" s="39" t="s">
        <v>516</v>
      </c>
      <c r="M122" s="39" t="s">
        <v>29</v>
      </c>
      <c r="N122" s="38" t="s">
        <v>6544</v>
      </c>
      <c r="O122" s="39"/>
      <c r="P122" s="39"/>
    </row>
    <row r="123" spans="1:16" ht="13.2" customHeight="1" x14ac:dyDescent="0.25">
      <c r="A123" s="37">
        <v>121</v>
      </c>
      <c r="B123" s="38" t="s">
        <v>8404</v>
      </c>
      <c r="C123" s="38"/>
      <c r="D123" s="38" t="s">
        <v>8405</v>
      </c>
      <c r="E123" s="38" t="s">
        <v>8406</v>
      </c>
      <c r="F123" s="38" t="s">
        <v>8407</v>
      </c>
      <c r="G123" s="38" t="s">
        <v>8408</v>
      </c>
      <c r="H123" s="38" t="s">
        <v>8409</v>
      </c>
      <c r="I123" s="37" t="s">
        <v>113</v>
      </c>
      <c r="J123" s="38" t="s">
        <v>8410</v>
      </c>
      <c r="K123" s="38"/>
      <c r="L123" s="39" t="s">
        <v>7621</v>
      </c>
      <c r="M123" s="39" t="s">
        <v>29</v>
      </c>
      <c r="N123" s="38" t="s">
        <v>6544</v>
      </c>
      <c r="O123" s="39"/>
      <c r="P123" s="39"/>
    </row>
    <row r="124" spans="1:16" ht="13.2" customHeight="1" x14ac:dyDescent="0.25">
      <c r="A124" s="37">
        <v>122</v>
      </c>
      <c r="B124" s="38" t="s">
        <v>8411</v>
      </c>
      <c r="C124" s="38"/>
      <c r="D124" s="38" t="s">
        <v>8412</v>
      </c>
      <c r="E124" s="38" t="s">
        <v>8413</v>
      </c>
      <c r="F124" s="38" t="s">
        <v>8414</v>
      </c>
      <c r="G124" s="38" t="s">
        <v>8415</v>
      </c>
      <c r="H124" s="38" t="s">
        <v>8416</v>
      </c>
      <c r="I124" s="37" t="s">
        <v>96</v>
      </c>
      <c r="J124" s="38" t="s">
        <v>8417</v>
      </c>
      <c r="K124" s="38"/>
      <c r="L124" s="39" t="s">
        <v>7621</v>
      </c>
      <c r="M124" s="39" t="s">
        <v>29</v>
      </c>
      <c r="N124" s="38" t="s">
        <v>8418</v>
      </c>
      <c r="O124" s="39"/>
      <c r="P124" s="39"/>
    </row>
    <row r="125" spans="1:16" ht="13.2" customHeight="1" x14ac:dyDescent="0.25">
      <c r="A125" s="37">
        <v>123</v>
      </c>
      <c r="B125" s="38" t="s">
        <v>8419</v>
      </c>
      <c r="C125" s="38"/>
      <c r="D125" s="38" t="s">
        <v>2998</v>
      </c>
      <c r="E125" s="38" t="s">
        <v>2999</v>
      </c>
      <c r="F125" s="38" t="s">
        <v>3000</v>
      </c>
      <c r="G125" s="38" t="s">
        <v>3001</v>
      </c>
      <c r="H125" s="38" t="s">
        <v>3002</v>
      </c>
      <c r="I125" s="37" t="s">
        <v>96</v>
      </c>
      <c r="J125" s="38" t="s">
        <v>8420</v>
      </c>
      <c r="K125" s="38"/>
      <c r="L125" s="39" t="s">
        <v>7621</v>
      </c>
      <c r="M125" s="39" t="s">
        <v>29</v>
      </c>
      <c r="N125" s="38" t="s">
        <v>8418</v>
      </c>
      <c r="O125" s="39"/>
      <c r="P125" s="39"/>
    </row>
    <row r="126" spans="1:16" ht="13.2" customHeight="1" x14ac:dyDescent="0.25">
      <c r="A126" s="37">
        <v>124</v>
      </c>
      <c r="B126" s="38" t="s">
        <v>8421</v>
      </c>
      <c r="C126" s="38"/>
      <c r="D126" s="38" t="s">
        <v>8422</v>
      </c>
      <c r="E126" s="38" t="s">
        <v>8423</v>
      </c>
      <c r="F126" s="38" t="s">
        <v>8424</v>
      </c>
      <c r="G126" s="38" t="s">
        <v>8425</v>
      </c>
      <c r="H126" s="38" t="s">
        <v>8426</v>
      </c>
      <c r="I126" s="37" t="s">
        <v>96</v>
      </c>
      <c r="J126" s="38" t="s">
        <v>8427</v>
      </c>
      <c r="K126" s="38"/>
      <c r="L126" s="39" t="s">
        <v>7621</v>
      </c>
      <c r="M126" s="39" t="s">
        <v>29</v>
      </c>
      <c r="N126" s="38" t="s">
        <v>8418</v>
      </c>
      <c r="O126" s="39"/>
      <c r="P126" s="39"/>
    </row>
    <row r="127" spans="1:16" ht="13.2" customHeight="1" x14ac:dyDescent="0.25">
      <c r="A127" s="37">
        <v>125</v>
      </c>
      <c r="B127" s="38" t="s">
        <v>8428</v>
      </c>
      <c r="C127" s="38"/>
      <c r="D127" s="38" t="s">
        <v>8429</v>
      </c>
      <c r="E127" s="38" t="s">
        <v>8430</v>
      </c>
      <c r="F127" s="38" t="s">
        <v>8431</v>
      </c>
      <c r="G127" s="38" t="s">
        <v>8432</v>
      </c>
      <c r="H127" s="38" t="s">
        <v>8433</v>
      </c>
      <c r="I127" s="37" t="s">
        <v>90</v>
      </c>
      <c r="J127" s="38" t="s">
        <v>8434</v>
      </c>
      <c r="K127" s="38"/>
      <c r="L127" s="39" t="s">
        <v>7621</v>
      </c>
      <c r="M127" s="39" t="s">
        <v>29</v>
      </c>
      <c r="N127" s="38" t="s">
        <v>6555</v>
      </c>
      <c r="O127" s="39"/>
      <c r="P127" s="39"/>
    </row>
    <row r="128" spans="1:16" ht="13.2" customHeight="1" x14ac:dyDescent="0.25">
      <c r="A128" s="37">
        <v>126</v>
      </c>
      <c r="B128" s="38" t="s">
        <v>8435</v>
      </c>
      <c r="C128" s="38"/>
      <c r="D128" s="38" t="s">
        <v>8436</v>
      </c>
      <c r="E128" s="38" t="s">
        <v>8437</v>
      </c>
      <c r="F128" s="38" t="s">
        <v>8438</v>
      </c>
      <c r="G128" s="38" t="s">
        <v>8439</v>
      </c>
      <c r="H128" s="38" t="s">
        <v>8440</v>
      </c>
      <c r="I128" s="37" t="s">
        <v>90</v>
      </c>
      <c r="J128" s="38" t="s">
        <v>8441</v>
      </c>
      <c r="K128" s="38"/>
      <c r="L128" s="39" t="s">
        <v>7621</v>
      </c>
      <c r="M128" s="39" t="s">
        <v>29</v>
      </c>
      <c r="N128" s="38" t="s">
        <v>6555</v>
      </c>
      <c r="O128" s="39"/>
      <c r="P128" s="39"/>
    </row>
    <row r="129" spans="1:16" ht="13.2" customHeight="1" x14ac:dyDescent="0.25">
      <c r="A129" s="37">
        <v>127</v>
      </c>
      <c r="B129" s="38" t="s">
        <v>8442</v>
      </c>
      <c r="C129" s="38"/>
      <c r="D129" s="38" t="s">
        <v>8443</v>
      </c>
      <c r="E129" s="38" t="s">
        <v>8444</v>
      </c>
      <c r="F129" s="38" t="s">
        <v>8445</v>
      </c>
      <c r="G129" s="38" t="s">
        <v>8446</v>
      </c>
      <c r="H129" s="38" t="s">
        <v>8447</v>
      </c>
      <c r="I129" s="37" t="s">
        <v>90</v>
      </c>
      <c r="J129" s="38" t="s">
        <v>8448</v>
      </c>
      <c r="K129" s="38"/>
      <c r="L129" s="39" t="s">
        <v>7856</v>
      </c>
      <c r="M129" s="39" t="s">
        <v>29</v>
      </c>
      <c r="N129" s="38" t="s">
        <v>6555</v>
      </c>
      <c r="O129" s="39"/>
      <c r="P129" s="39"/>
    </row>
    <row r="130" spans="1:16" ht="13.2" customHeight="1" x14ac:dyDescent="0.25">
      <c r="A130" s="37">
        <v>128</v>
      </c>
      <c r="B130" s="38" t="s">
        <v>8449</v>
      </c>
      <c r="C130" s="38"/>
      <c r="D130" s="38" t="s">
        <v>2968</v>
      </c>
      <c r="E130" s="38" t="s">
        <v>2967</v>
      </c>
      <c r="F130" s="38" t="s">
        <v>2721</v>
      </c>
      <c r="G130" s="38" t="s">
        <v>8395</v>
      </c>
      <c r="H130" s="38" t="s">
        <v>7200</v>
      </c>
      <c r="I130" s="37" t="s">
        <v>123</v>
      </c>
      <c r="J130" s="38" t="s">
        <v>8450</v>
      </c>
      <c r="K130" s="38"/>
      <c r="L130" s="39" t="s">
        <v>7621</v>
      </c>
      <c r="M130" s="39" t="s">
        <v>29</v>
      </c>
      <c r="N130" s="38" t="s">
        <v>8451</v>
      </c>
      <c r="O130" s="39"/>
      <c r="P130" s="39"/>
    </row>
    <row r="131" spans="1:16" ht="13.2" customHeight="1" x14ac:dyDescent="0.25">
      <c r="A131" s="37">
        <v>129</v>
      </c>
      <c r="B131" s="38" t="s">
        <v>8452</v>
      </c>
      <c r="C131" s="38"/>
      <c r="D131" s="38" t="s">
        <v>8453</v>
      </c>
      <c r="E131" s="38" t="s">
        <v>8454</v>
      </c>
      <c r="F131" s="38" t="s">
        <v>8455</v>
      </c>
      <c r="G131" s="38" t="s">
        <v>8456</v>
      </c>
      <c r="H131" s="38" t="s">
        <v>5525</v>
      </c>
      <c r="I131" s="37" t="s">
        <v>123</v>
      </c>
      <c r="J131" s="38" t="s">
        <v>8457</v>
      </c>
      <c r="K131" s="38"/>
      <c r="L131" s="39" t="s">
        <v>516</v>
      </c>
      <c r="M131" s="39" t="s">
        <v>29</v>
      </c>
      <c r="N131" s="38" t="s">
        <v>8451</v>
      </c>
      <c r="O131" s="39"/>
      <c r="P131" s="39"/>
    </row>
    <row r="132" spans="1:16" ht="13.2" customHeight="1" x14ac:dyDescent="0.25">
      <c r="A132" s="37">
        <v>130</v>
      </c>
      <c r="B132" s="38" t="s">
        <v>8458</v>
      </c>
      <c r="C132" s="38"/>
      <c r="D132" s="38" t="s">
        <v>8459</v>
      </c>
      <c r="E132" s="38" t="s">
        <v>8460</v>
      </c>
      <c r="F132" s="38" t="s">
        <v>8461</v>
      </c>
      <c r="G132" s="38" t="s">
        <v>8462</v>
      </c>
      <c r="H132" s="38" t="s">
        <v>8463</v>
      </c>
      <c r="I132" s="37" t="s">
        <v>123</v>
      </c>
      <c r="J132" s="38" t="s">
        <v>8464</v>
      </c>
      <c r="K132" s="38"/>
      <c r="L132" s="39" t="s">
        <v>7621</v>
      </c>
      <c r="M132" s="39" t="s">
        <v>29</v>
      </c>
      <c r="N132" s="38" t="s">
        <v>8451</v>
      </c>
      <c r="O132" s="39"/>
      <c r="P132" s="39"/>
    </row>
    <row r="133" spans="1:16" ht="13.2" customHeight="1" x14ac:dyDescent="0.25">
      <c r="A133" s="37">
        <v>131</v>
      </c>
      <c r="B133" s="38" t="s">
        <v>8465</v>
      </c>
      <c r="C133" s="38"/>
      <c r="D133" s="38" t="s">
        <v>2725</v>
      </c>
      <c r="E133" s="38" t="s">
        <v>2967</v>
      </c>
      <c r="F133" s="38" t="s">
        <v>2721</v>
      </c>
      <c r="G133" s="38" t="s">
        <v>4027</v>
      </c>
      <c r="H133" s="38" t="s">
        <v>8395</v>
      </c>
      <c r="I133" s="37" t="s">
        <v>113</v>
      </c>
      <c r="J133" s="38" t="s">
        <v>8466</v>
      </c>
      <c r="K133" s="38"/>
      <c r="L133" s="39" t="s">
        <v>7621</v>
      </c>
      <c r="M133" s="39" t="s">
        <v>29</v>
      </c>
      <c r="N133" s="38" t="s">
        <v>8467</v>
      </c>
      <c r="O133" s="39"/>
      <c r="P133" s="39"/>
    </row>
    <row r="134" spans="1:16" ht="13.2" customHeight="1" x14ac:dyDescent="0.25">
      <c r="A134" s="37">
        <v>132</v>
      </c>
      <c r="B134" s="38" t="s">
        <v>8468</v>
      </c>
      <c r="C134" s="38"/>
      <c r="D134" s="38" t="s">
        <v>8469</v>
      </c>
      <c r="E134" s="38" t="s">
        <v>8470</v>
      </c>
      <c r="F134" s="38" t="s">
        <v>8471</v>
      </c>
      <c r="G134" s="38" t="s">
        <v>8472</v>
      </c>
      <c r="H134" s="38" t="s">
        <v>8473</v>
      </c>
      <c r="I134" s="37" t="s">
        <v>113</v>
      </c>
      <c r="J134" s="38" t="s">
        <v>8474</v>
      </c>
      <c r="K134" s="38"/>
      <c r="L134" s="39" t="s">
        <v>7856</v>
      </c>
      <c r="M134" s="39" t="s">
        <v>29</v>
      </c>
      <c r="N134" s="38" t="s">
        <v>8467</v>
      </c>
      <c r="O134" s="39"/>
      <c r="P134" s="39"/>
    </row>
    <row r="135" spans="1:16" ht="13.2" customHeight="1" x14ac:dyDescent="0.25">
      <c r="A135" s="37">
        <v>133</v>
      </c>
      <c r="B135" s="38" t="s">
        <v>8475</v>
      </c>
      <c r="C135" s="38"/>
      <c r="D135" s="38" t="s">
        <v>8476</v>
      </c>
      <c r="E135" s="38" t="s">
        <v>8477</v>
      </c>
      <c r="F135" s="38" t="s">
        <v>8177</v>
      </c>
      <c r="G135" s="38" t="s">
        <v>8478</v>
      </c>
      <c r="H135" s="38" t="s">
        <v>8479</v>
      </c>
      <c r="I135" s="37" t="s">
        <v>84</v>
      </c>
      <c r="J135" s="38" t="s">
        <v>8480</v>
      </c>
      <c r="K135" s="38"/>
      <c r="L135" s="39" t="s">
        <v>7621</v>
      </c>
      <c r="M135" s="39" t="s">
        <v>29</v>
      </c>
      <c r="N135" s="38" t="s">
        <v>2862</v>
      </c>
      <c r="O135" s="39"/>
      <c r="P135" s="39"/>
    </row>
    <row r="136" spans="1:16" ht="13.2" customHeight="1" x14ac:dyDescent="0.25">
      <c r="A136" s="37">
        <v>134</v>
      </c>
      <c r="B136" s="38" t="s">
        <v>8481</v>
      </c>
      <c r="C136" s="38"/>
      <c r="D136" s="38" t="s">
        <v>8482</v>
      </c>
      <c r="E136" s="38" t="s">
        <v>8483</v>
      </c>
      <c r="F136" s="38" t="s">
        <v>1125</v>
      </c>
      <c r="G136" s="38" t="s">
        <v>5392</v>
      </c>
      <c r="H136" s="38" t="s">
        <v>8484</v>
      </c>
      <c r="I136" s="37" t="s">
        <v>84</v>
      </c>
      <c r="J136" s="38" t="s">
        <v>8485</v>
      </c>
      <c r="K136" s="38"/>
      <c r="L136" s="39" t="s">
        <v>7856</v>
      </c>
      <c r="M136" s="39" t="s">
        <v>29</v>
      </c>
      <c r="N136" s="38" t="s">
        <v>2862</v>
      </c>
      <c r="O136" s="39"/>
      <c r="P136" s="39"/>
    </row>
    <row r="137" spans="1:16" ht="13.2" customHeight="1" x14ac:dyDescent="0.25">
      <c r="A137" s="37">
        <v>135</v>
      </c>
      <c r="B137" s="38" t="s">
        <v>8486</v>
      </c>
      <c r="C137" s="38"/>
      <c r="D137" s="38" t="s">
        <v>8487</v>
      </c>
      <c r="E137" s="38" t="s">
        <v>8488</v>
      </c>
      <c r="F137" s="38" t="s">
        <v>8489</v>
      </c>
      <c r="G137" s="38" t="s">
        <v>8490</v>
      </c>
      <c r="H137" s="38" t="s">
        <v>8491</v>
      </c>
      <c r="I137" s="37" t="s">
        <v>90</v>
      </c>
      <c r="J137" s="38" t="s">
        <v>8492</v>
      </c>
      <c r="K137" s="38"/>
      <c r="L137" s="39" t="s">
        <v>7621</v>
      </c>
      <c r="M137" s="39" t="s">
        <v>29</v>
      </c>
      <c r="N137" s="38" t="s">
        <v>8493</v>
      </c>
      <c r="O137" s="39"/>
      <c r="P137" s="39"/>
    </row>
    <row r="138" spans="1:16" ht="13.2" customHeight="1" x14ac:dyDescent="0.25">
      <c r="A138" s="37">
        <v>136</v>
      </c>
      <c r="B138" s="38" t="s">
        <v>8494</v>
      </c>
      <c r="C138" s="38"/>
      <c r="D138" s="38" t="s">
        <v>8495</v>
      </c>
      <c r="E138" s="38" t="s">
        <v>8496</v>
      </c>
      <c r="F138" s="38" t="s">
        <v>8497</v>
      </c>
      <c r="G138" s="38" t="s">
        <v>8498</v>
      </c>
      <c r="H138" s="38" t="s">
        <v>8499</v>
      </c>
      <c r="I138" s="37" t="s">
        <v>113</v>
      </c>
      <c r="J138" s="38" t="s">
        <v>8500</v>
      </c>
      <c r="K138" s="38"/>
      <c r="L138" s="39" t="s">
        <v>7621</v>
      </c>
      <c r="M138" s="39" t="s">
        <v>29</v>
      </c>
      <c r="N138" s="38" t="s">
        <v>8501</v>
      </c>
      <c r="O138" s="39"/>
      <c r="P138" s="39"/>
    </row>
    <row r="139" spans="1:16" ht="13.2" customHeight="1" x14ac:dyDescent="0.25">
      <c r="A139" s="37">
        <v>137</v>
      </c>
      <c r="B139" s="38" t="s">
        <v>8502</v>
      </c>
      <c r="C139" s="38"/>
      <c r="D139" s="38" t="s">
        <v>8503</v>
      </c>
      <c r="E139" s="38" t="s">
        <v>8504</v>
      </c>
      <c r="F139" s="38" t="s">
        <v>8505</v>
      </c>
      <c r="G139" s="38" t="s">
        <v>8506</v>
      </c>
      <c r="H139" s="38" t="s">
        <v>8507</v>
      </c>
      <c r="I139" s="37" t="s">
        <v>84</v>
      </c>
      <c r="J139" s="38" t="s">
        <v>8508</v>
      </c>
      <c r="K139" s="38"/>
      <c r="L139" s="39" t="s">
        <v>7621</v>
      </c>
      <c r="M139" s="39" t="s">
        <v>29</v>
      </c>
      <c r="N139" s="38" t="s">
        <v>8509</v>
      </c>
      <c r="O139" s="39"/>
      <c r="P139" s="39"/>
    </row>
    <row r="140" spans="1:16" ht="13.2" customHeight="1" x14ac:dyDescent="0.25">
      <c r="A140" s="37">
        <v>138</v>
      </c>
      <c r="B140" s="38" t="s">
        <v>8510</v>
      </c>
      <c r="C140" s="38"/>
      <c r="D140" s="38" t="s">
        <v>8319</v>
      </c>
      <c r="E140" s="38" t="s">
        <v>8138</v>
      </c>
      <c r="F140" s="38" t="s">
        <v>8137</v>
      </c>
      <c r="G140" s="38" t="s">
        <v>8135</v>
      </c>
      <c r="H140" s="38" t="s">
        <v>8136</v>
      </c>
      <c r="I140" s="37" t="s">
        <v>84</v>
      </c>
      <c r="J140" s="38" t="s">
        <v>8511</v>
      </c>
      <c r="K140" s="38"/>
      <c r="L140" s="39" t="s">
        <v>7621</v>
      </c>
      <c r="M140" s="39" t="s">
        <v>29</v>
      </c>
      <c r="N140" s="38" t="s">
        <v>815</v>
      </c>
      <c r="O140" s="39"/>
      <c r="P140" s="39"/>
    </row>
    <row r="141" spans="1:16" ht="13.2" customHeight="1" x14ac:dyDescent="0.25">
      <c r="A141" s="37">
        <v>139</v>
      </c>
      <c r="B141" s="38" t="s">
        <v>8512</v>
      </c>
      <c r="C141" s="38"/>
      <c r="D141" s="38" t="s">
        <v>8513</v>
      </c>
      <c r="E141" s="38" t="s">
        <v>8514</v>
      </c>
      <c r="F141" s="38" t="s">
        <v>8137</v>
      </c>
      <c r="G141" s="38" t="s">
        <v>8138</v>
      </c>
      <c r="H141" s="38" t="s">
        <v>8515</v>
      </c>
      <c r="I141" s="37" t="s">
        <v>96</v>
      </c>
      <c r="J141" s="38" t="s">
        <v>8516</v>
      </c>
      <c r="K141" s="38"/>
      <c r="L141" s="39" t="s">
        <v>7621</v>
      </c>
      <c r="M141" s="39" t="s">
        <v>29</v>
      </c>
      <c r="N141" s="38" t="s">
        <v>2901</v>
      </c>
      <c r="O141" s="39"/>
      <c r="P141" s="39"/>
    </row>
    <row r="142" spans="1:16" ht="13.2" customHeight="1" x14ac:dyDescent="0.25">
      <c r="A142" s="37">
        <v>140</v>
      </c>
      <c r="B142" s="38" t="s">
        <v>8517</v>
      </c>
      <c r="C142" s="38"/>
      <c r="D142" s="38" t="s">
        <v>8518</v>
      </c>
      <c r="E142" s="38" t="s">
        <v>8519</v>
      </c>
      <c r="F142" s="38" t="s">
        <v>8520</v>
      </c>
      <c r="G142" s="38" t="s">
        <v>8521</v>
      </c>
      <c r="H142" s="38" t="s">
        <v>8522</v>
      </c>
      <c r="I142" s="37" t="s">
        <v>84</v>
      </c>
      <c r="J142" s="38" t="s">
        <v>8523</v>
      </c>
      <c r="K142" s="38"/>
      <c r="L142" s="39" t="s">
        <v>7621</v>
      </c>
      <c r="M142" s="39" t="s">
        <v>29</v>
      </c>
      <c r="N142" s="38" t="s">
        <v>2908</v>
      </c>
      <c r="O142" s="39"/>
      <c r="P142" s="39"/>
    </row>
    <row r="143" spans="1:16" ht="13.2" customHeight="1" x14ac:dyDescent="0.25">
      <c r="A143" s="37">
        <v>141</v>
      </c>
      <c r="B143" s="38" t="s">
        <v>8524</v>
      </c>
      <c r="C143" s="38"/>
      <c r="D143" s="38" t="s">
        <v>3108</v>
      </c>
      <c r="E143" s="38" t="s">
        <v>3107</v>
      </c>
      <c r="F143" s="38" t="s">
        <v>8525</v>
      </c>
      <c r="G143" s="38" t="s">
        <v>8526</v>
      </c>
      <c r="H143" s="38" t="s">
        <v>8527</v>
      </c>
      <c r="I143" s="37" t="s">
        <v>96</v>
      </c>
      <c r="J143" s="38" t="s">
        <v>8528</v>
      </c>
      <c r="K143" s="38"/>
      <c r="L143" s="39" t="s">
        <v>7621</v>
      </c>
      <c r="M143" s="39" t="s">
        <v>29</v>
      </c>
      <c r="N143" s="38" t="s">
        <v>6617</v>
      </c>
      <c r="O143" s="39"/>
      <c r="P143" s="39"/>
    </row>
    <row r="144" spans="1:16" ht="13.2" customHeight="1" x14ac:dyDescent="0.25">
      <c r="A144" s="37">
        <v>142</v>
      </c>
      <c r="B144" s="38" t="s">
        <v>8529</v>
      </c>
      <c r="C144" s="38"/>
      <c r="D144" s="38" t="s">
        <v>8319</v>
      </c>
      <c r="E144" s="38" t="s">
        <v>2965</v>
      </c>
      <c r="F144" s="38" t="s">
        <v>8530</v>
      </c>
      <c r="G144" s="38" t="s">
        <v>3584</v>
      </c>
      <c r="H144" s="38" t="s">
        <v>2966</v>
      </c>
      <c r="I144" s="37" t="s">
        <v>84</v>
      </c>
      <c r="J144" s="38" t="s">
        <v>8531</v>
      </c>
      <c r="K144" s="38"/>
      <c r="L144" s="39" t="s">
        <v>7630</v>
      </c>
      <c r="M144" s="39" t="s">
        <v>29</v>
      </c>
      <c r="N144" s="38" t="s">
        <v>8532</v>
      </c>
      <c r="O144" s="39"/>
      <c r="P144" s="39"/>
    </row>
    <row r="145" spans="1:16" ht="13.2" customHeight="1" x14ac:dyDescent="0.25">
      <c r="A145" s="37">
        <v>143</v>
      </c>
      <c r="B145" s="38" t="s">
        <v>8533</v>
      </c>
      <c r="C145" s="38"/>
      <c r="D145" s="38" t="s">
        <v>8534</v>
      </c>
      <c r="E145" s="38" t="s">
        <v>8535</v>
      </c>
      <c r="F145" s="38" t="s">
        <v>8536</v>
      </c>
      <c r="G145" s="38" t="s">
        <v>8537</v>
      </c>
      <c r="H145" s="38" t="s">
        <v>8538</v>
      </c>
      <c r="I145" s="37" t="s">
        <v>84</v>
      </c>
      <c r="J145" s="38" t="s">
        <v>8539</v>
      </c>
      <c r="K145" s="38"/>
      <c r="L145" s="39" t="s">
        <v>516</v>
      </c>
      <c r="M145" s="39" t="s">
        <v>29</v>
      </c>
      <c r="N145" s="38" t="s">
        <v>8540</v>
      </c>
      <c r="O145" s="39"/>
      <c r="P145" s="39"/>
    </row>
    <row r="146" spans="1:16" ht="13.2" customHeight="1" x14ac:dyDescent="0.25">
      <c r="A146" s="37">
        <v>144</v>
      </c>
      <c r="B146" s="38" t="s">
        <v>8541</v>
      </c>
      <c r="C146" s="38"/>
      <c r="D146" s="38" t="s">
        <v>8542</v>
      </c>
      <c r="E146" s="38" t="s">
        <v>8543</v>
      </c>
      <c r="F146" s="38" t="s">
        <v>8544</v>
      </c>
      <c r="G146" s="38" t="s">
        <v>8545</v>
      </c>
      <c r="H146" s="38" t="s">
        <v>8546</v>
      </c>
      <c r="I146" s="37" t="s">
        <v>113</v>
      </c>
      <c r="J146" s="38" t="s">
        <v>8547</v>
      </c>
      <c r="K146" s="38"/>
      <c r="L146" s="39" t="s">
        <v>516</v>
      </c>
      <c r="M146" s="39" t="s">
        <v>29</v>
      </c>
      <c r="N146" s="38" t="s">
        <v>8548</v>
      </c>
      <c r="O146" s="39"/>
      <c r="P146" s="39"/>
    </row>
    <row r="147" spans="1:16" ht="13.2" customHeight="1" x14ac:dyDescent="0.25">
      <c r="A147" s="37">
        <v>145</v>
      </c>
      <c r="B147" s="38" t="s">
        <v>8549</v>
      </c>
      <c r="C147" s="38"/>
      <c r="D147" s="38" t="s">
        <v>8550</v>
      </c>
      <c r="E147" s="38" t="s">
        <v>8551</v>
      </c>
      <c r="F147" s="38" t="s">
        <v>8552</v>
      </c>
      <c r="G147" s="38" t="s">
        <v>8553</v>
      </c>
      <c r="H147" s="38" t="s">
        <v>8554</v>
      </c>
      <c r="I147" s="37" t="s">
        <v>96</v>
      </c>
      <c r="J147" s="38" t="s">
        <v>8555</v>
      </c>
      <c r="K147" s="38"/>
      <c r="L147" s="39" t="s">
        <v>7621</v>
      </c>
      <c r="M147" s="39" t="s">
        <v>29</v>
      </c>
      <c r="N147" s="38" t="s">
        <v>8556</v>
      </c>
      <c r="O147" s="39"/>
      <c r="P147" s="39"/>
    </row>
    <row r="148" spans="1:16" ht="13.2" customHeight="1" x14ac:dyDescent="0.25">
      <c r="A148" s="37">
        <v>146</v>
      </c>
      <c r="B148" s="38" t="s">
        <v>8557</v>
      </c>
      <c r="C148" s="38"/>
      <c r="D148" s="38" t="s">
        <v>8558</v>
      </c>
      <c r="E148" s="38" t="s">
        <v>8559</v>
      </c>
      <c r="F148" s="38" t="s">
        <v>8560</v>
      </c>
      <c r="G148" s="38" t="s">
        <v>8561</v>
      </c>
      <c r="H148" s="38" t="s">
        <v>8562</v>
      </c>
      <c r="I148" s="37" t="s">
        <v>84</v>
      </c>
      <c r="J148" s="38" t="s">
        <v>8563</v>
      </c>
      <c r="K148" s="38"/>
      <c r="L148" s="39" t="s">
        <v>7621</v>
      </c>
      <c r="M148" s="39" t="s">
        <v>29</v>
      </c>
      <c r="N148" s="38" t="s">
        <v>8564</v>
      </c>
      <c r="O148" s="39"/>
      <c r="P148" s="39"/>
    </row>
    <row r="149" spans="1:16" ht="13.2" customHeight="1" x14ac:dyDescent="0.25">
      <c r="A149" s="37">
        <v>147</v>
      </c>
      <c r="B149" s="38" t="s">
        <v>8565</v>
      </c>
      <c r="C149" s="38"/>
      <c r="D149" s="38" t="s">
        <v>8566</v>
      </c>
      <c r="E149" s="38" t="s">
        <v>8567</v>
      </c>
      <c r="F149" s="38" t="s">
        <v>8568</v>
      </c>
      <c r="G149" s="38" t="s">
        <v>8569</v>
      </c>
      <c r="H149" s="38" t="s">
        <v>8570</v>
      </c>
      <c r="I149" s="37" t="s">
        <v>123</v>
      </c>
      <c r="J149" s="38" t="s">
        <v>8571</v>
      </c>
      <c r="K149" s="38"/>
      <c r="L149" s="39" t="s">
        <v>7621</v>
      </c>
      <c r="M149" s="39" t="s">
        <v>29</v>
      </c>
      <c r="N149" s="38" t="s">
        <v>877</v>
      </c>
      <c r="O149" s="39"/>
      <c r="P149" s="39"/>
    </row>
    <row r="150" spans="1:16" ht="13.2" customHeight="1" x14ac:dyDescent="0.25">
      <c r="A150" s="37">
        <v>148</v>
      </c>
      <c r="B150" s="38" t="s">
        <v>8572</v>
      </c>
      <c r="C150" s="38"/>
      <c r="D150" s="38" t="s">
        <v>8573</v>
      </c>
      <c r="E150" s="38" t="s">
        <v>8574</v>
      </c>
      <c r="F150" s="38" t="s">
        <v>8575</v>
      </c>
      <c r="G150" s="38" t="s">
        <v>8576</v>
      </c>
      <c r="H150" s="38" t="s">
        <v>8577</v>
      </c>
      <c r="I150" s="37" t="s">
        <v>123</v>
      </c>
      <c r="J150" s="38" t="s">
        <v>8578</v>
      </c>
      <c r="K150" s="38"/>
      <c r="L150" s="39" t="s">
        <v>7621</v>
      </c>
      <c r="M150" s="39" t="s">
        <v>29</v>
      </c>
      <c r="N150" s="38" t="s">
        <v>8579</v>
      </c>
      <c r="O150" s="39"/>
      <c r="P150" s="39"/>
    </row>
    <row r="151" spans="1:16" ht="13.2" customHeight="1" x14ac:dyDescent="0.25">
      <c r="A151" s="37">
        <v>149</v>
      </c>
      <c r="B151" s="38" t="s">
        <v>8580</v>
      </c>
      <c r="C151" s="38"/>
      <c r="D151" s="38" t="s">
        <v>8581</v>
      </c>
      <c r="E151" s="38" t="s">
        <v>8582</v>
      </c>
      <c r="F151" s="38" t="s">
        <v>8583</v>
      </c>
      <c r="G151" s="38" t="s">
        <v>8584</v>
      </c>
      <c r="H151" s="38" t="s">
        <v>8585</v>
      </c>
      <c r="I151" s="37" t="s">
        <v>90</v>
      </c>
      <c r="J151" s="38" t="s">
        <v>8586</v>
      </c>
      <c r="K151" s="38"/>
      <c r="L151" s="39" t="s">
        <v>7621</v>
      </c>
      <c r="M151" s="39" t="s">
        <v>29</v>
      </c>
      <c r="N151" s="38" t="s">
        <v>893</v>
      </c>
      <c r="O151" s="39"/>
      <c r="P151" s="39"/>
    </row>
    <row r="152" spans="1:16" ht="13.2" customHeight="1" x14ac:dyDescent="0.25">
      <c r="A152" s="37">
        <v>150</v>
      </c>
      <c r="B152" s="38" t="s">
        <v>8587</v>
      </c>
      <c r="C152" s="38"/>
      <c r="D152" s="38" t="s">
        <v>8588</v>
      </c>
      <c r="E152" s="38" t="s">
        <v>8589</v>
      </c>
      <c r="F152" s="38" t="s">
        <v>8590</v>
      </c>
      <c r="G152" s="38" t="s">
        <v>8591</v>
      </c>
      <c r="H152" s="38" t="s">
        <v>8592</v>
      </c>
      <c r="I152" s="37" t="s">
        <v>84</v>
      </c>
      <c r="J152" s="38" t="s">
        <v>8593</v>
      </c>
      <c r="K152" s="38"/>
      <c r="L152" s="39" t="s">
        <v>7621</v>
      </c>
      <c r="M152" s="39" t="s">
        <v>29</v>
      </c>
      <c r="N152" s="38" t="s">
        <v>8594</v>
      </c>
      <c r="O152" s="39"/>
      <c r="P152" s="39"/>
    </row>
    <row r="153" spans="1:16" ht="13.2" customHeight="1" x14ac:dyDescent="0.25">
      <c r="A153" s="37">
        <v>151</v>
      </c>
      <c r="B153" s="38" t="s">
        <v>8595</v>
      </c>
      <c r="C153" s="38"/>
      <c r="D153" s="38" t="s">
        <v>8596</v>
      </c>
      <c r="E153" s="38" t="s">
        <v>8597</v>
      </c>
      <c r="F153" s="38" t="s">
        <v>8598</v>
      </c>
      <c r="G153" s="38" t="s">
        <v>8599</v>
      </c>
      <c r="H153" s="38" t="s">
        <v>8600</v>
      </c>
      <c r="I153" s="37" t="s">
        <v>96</v>
      </c>
      <c r="J153" s="38" t="s">
        <v>8601</v>
      </c>
      <c r="K153" s="38"/>
      <c r="L153" s="39" t="s">
        <v>7621</v>
      </c>
      <c r="M153" s="39" t="s">
        <v>29</v>
      </c>
      <c r="N153" s="38" t="s">
        <v>909</v>
      </c>
      <c r="O153" s="39"/>
      <c r="P153" s="39"/>
    </row>
    <row r="154" spans="1:16" ht="13.2" customHeight="1" x14ac:dyDescent="0.25">
      <c r="A154" s="37">
        <v>152</v>
      </c>
      <c r="B154" s="38" t="s">
        <v>8602</v>
      </c>
      <c r="C154" s="38"/>
      <c r="D154" s="38" t="s">
        <v>8603</v>
      </c>
      <c r="E154" s="38" t="s">
        <v>8604</v>
      </c>
      <c r="F154" s="38" t="s">
        <v>8605</v>
      </c>
      <c r="G154" s="38" t="s">
        <v>8606</v>
      </c>
      <c r="H154" s="38" t="s">
        <v>8607</v>
      </c>
      <c r="I154" s="37" t="s">
        <v>84</v>
      </c>
      <c r="J154" s="38" t="s">
        <v>8608</v>
      </c>
      <c r="K154" s="38"/>
      <c r="L154" s="39" t="s">
        <v>7621</v>
      </c>
      <c r="M154" s="39" t="s">
        <v>29</v>
      </c>
      <c r="N154" s="38" t="s">
        <v>8609</v>
      </c>
      <c r="O154" s="39"/>
      <c r="P154" s="39"/>
    </row>
    <row r="155" spans="1:16" ht="13.2" customHeight="1" x14ac:dyDescent="0.25">
      <c r="A155" s="37">
        <v>153</v>
      </c>
      <c r="B155" s="38" t="s">
        <v>8610</v>
      </c>
      <c r="C155" s="38"/>
      <c r="D155" s="38" t="s">
        <v>8611</v>
      </c>
      <c r="E155" s="38" t="s">
        <v>8612</v>
      </c>
      <c r="F155" s="38" t="s">
        <v>8613</v>
      </c>
      <c r="G155" s="38" t="s">
        <v>8614</v>
      </c>
      <c r="H155" s="38" t="s">
        <v>781</v>
      </c>
      <c r="I155" s="37" t="s">
        <v>90</v>
      </c>
      <c r="J155" s="38" t="s">
        <v>8615</v>
      </c>
      <c r="K155" s="38"/>
      <c r="L155" s="39" t="s">
        <v>7621</v>
      </c>
      <c r="M155" s="39" t="s">
        <v>29</v>
      </c>
      <c r="N155" s="38" t="s">
        <v>920</v>
      </c>
      <c r="O155" s="39"/>
      <c r="P155" s="39"/>
    </row>
    <row r="156" spans="1:16" ht="13.2" customHeight="1" x14ac:dyDescent="0.25">
      <c r="A156" s="37">
        <v>154</v>
      </c>
      <c r="B156" s="38" t="s">
        <v>8616</v>
      </c>
      <c r="C156" s="38"/>
      <c r="D156" s="38" t="s">
        <v>8513</v>
      </c>
      <c r="E156" s="38" t="s">
        <v>8514</v>
      </c>
      <c r="F156" s="38" t="s">
        <v>8137</v>
      </c>
      <c r="G156" s="38" t="s">
        <v>8138</v>
      </c>
      <c r="H156" s="38" t="s">
        <v>8515</v>
      </c>
      <c r="I156" s="37" t="s">
        <v>96</v>
      </c>
      <c r="J156" s="38" t="s">
        <v>8617</v>
      </c>
      <c r="K156" s="38"/>
      <c r="L156" s="39" t="s">
        <v>7621</v>
      </c>
      <c r="M156" s="39" t="s">
        <v>29</v>
      </c>
      <c r="N156" s="38" t="s">
        <v>8618</v>
      </c>
      <c r="O156" s="39"/>
      <c r="P156" s="39"/>
    </row>
    <row r="157" spans="1:16" ht="13.2" customHeight="1" x14ac:dyDescent="0.25">
      <c r="A157" s="37">
        <v>155</v>
      </c>
      <c r="B157" s="38" t="s">
        <v>8619</v>
      </c>
      <c r="C157" s="38"/>
      <c r="D157" s="38" t="s">
        <v>8620</v>
      </c>
      <c r="E157" s="38" t="s">
        <v>8131</v>
      </c>
      <c r="F157" s="38" t="s">
        <v>8621</v>
      </c>
      <c r="G157" s="38" t="s">
        <v>3470</v>
      </c>
      <c r="H157" s="38" t="s">
        <v>3469</v>
      </c>
      <c r="I157" s="37" t="s">
        <v>96</v>
      </c>
      <c r="J157" s="38" t="s">
        <v>8622</v>
      </c>
      <c r="K157" s="38"/>
      <c r="L157" s="39" t="s">
        <v>7621</v>
      </c>
      <c r="M157" s="39" t="s">
        <v>29</v>
      </c>
      <c r="N157" s="38" t="s">
        <v>8623</v>
      </c>
      <c r="O157" s="39"/>
      <c r="P157" s="39"/>
    </row>
    <row r="158" spans="1:16" ht="13.2" customHeight="1" x14ac:dyDescent="0.25">
      <c r="A158" s="37">
        <v>156</v>
      </c>
      <c r="B158" s="38" t="s">
        <v>8624</v>
      </c>
      <c r="C158" s="38"/>
      <c r="D158" s="38" t="s">
        <v>8625</v>
      </c>
      <c r="E158" s="38" t="s">
        <v>8626</v>
      </c>
      <c r="F158" s="38" t="s">
        <v>8627</v>
      </c>
      <c r="G158" s="38" t="s">
        <v>8628</v>
      </c>
      <c r="H158" s="38" t="s">
        <v>8629</v>
      </c>
      <c r="I158" s="37" t="s">
        <v>90</v>
      </c>
      <c r="J158" s="38" t="s">
        <v>8630</v>
      </c>
      <c r="K158" s="38"/>
      <c r="L158" s="39" t="s">
        <v>7621</v>
      </c>
      <c r="M158" s="39" t="s">
        <v>29</v>
      </c>
      <c r="N158" s="38" t="s">
        <v>8631</v>
      </c>
      <c r="O158" s="39"/>
      <c r="P158" s="39"/>
    </row>
    <row r="159" spans="1:16" ht="13.2" customHeight="1" x14ac:dyDescent="0.25">
      <c r="A159" s="37">
        <v>157</v>
      </c>
      <c r="B159" s="38" t="s">
        <v>8632</v>
      </c>
      <c r="C159" s="38"/>
      <c r="D159" s="38" t="s">
        <v>8633</v>
      </c>
      <c r="E159" s="38" t="s">
        <v>8634</v>
      </c>
      <c r="F159" s="38" t="s">
        <v>8635</v>
      </c>
      <c r="G159" s="38" t="s">
        <v>8636</v>
      </c>
      <c r="H159" s="38" t="s">
        <v>8637</v>
      </c>
      <c r="I159" s="37" t="s">
        <v>84</v>
      </c>
      <c r="J159" s="38" t="s">
        <v>8638</v>
      </c>
      <c r="K159" s="38"/>
      <c r="L159" s="39" t="s">
        <v>7621</v>
      </c>
      <c r="M159" s="39" t="s">
        <v>29</v>
      </c>
      <c r="N159" s="38" t="s">
        <v>8639</v>
      </c>
      <c r="O159" s="39"/>
      <c r="P159" s="39"/>
    </row>
    <row r="160" spans="1:16" ht="13.2" customHeight="1" x14ac:dyDescent="0.25">
      <c r="A160" s="37">
        <v>158</v>
      </c>
      <c r="B160" s="38" t="s">
        <v>8640</v>
      </c>
      <c r="C160" s="38"/>
      <c r="D160" s="38" t="s">
        <v>8641</v>
      </c>
      <c r="E160" s="38" t="s">
        <v>8642</v>
      </c>
      <c r="F160" s="38" t="s">
        <v>8643</v>
      </c>
      <c r="G160" s="38" t="s">
        <v>8644</v>
      </c>
      <c r="H160" s="38" t="s">
        <v>8645</v>
      </c>
      <c r="I160" s="37" t="s">
        <v>90</v>
      </c>
      <c r="J160" s="38" t="s">
        <v>8646</v>
      </c>
      <c r="K160" s="38"/>
      <c r="L160" s="39" t="s">
        <v>7621</v>
      </c>
      <c r="M160" s="39" t="s">
        <v>29</v>
      </c>
      <c r="N160" s="38" t="s">
        <v>3048</v>
      </c>
      <c r="O160" s="39"/>
      <c r="P160" s="39"/>
    </row>
    <row r="161" spans="1:17" ht="13.2" customHeight="1" x14ac:dyDescent="0.25">
      <c r="A161" s="37">
        <v>159</v>
      </c>
      <c r="B161" s="38" t="s">
        <v>8647</v>
      </c>
      <c r="C161" s="38"/>
      <c r="D161" s="38" t="s">
        <v>8648</v>
      </c>
      <c r="E161" s="38" t="s">
        <v>8649</v>
      </c>
      <c r="F161" s="38" t="s">
        <v>8650</v>
      </c>
      <c r="G161" s="38" t="s">
        <v>8651</v>
      </c>
      <c r="H161" s="38" t="s">
        <v>8652</v>
      </c>
      <c r="I161" s="37" t="s">
        <v>84</v>
      </c>
      <c r="J161" s="38" t="s">
        <v>8653</v>
      </c>
      <c r="K161" s="38"/>
      <c r="L161" s="39" t="s">
        <v>7621</v>
      </c>
      <c r="M161" s="39" t="s">
        <v>3473</v>
      </c>
      <c r="N161" s="38" t="s">
        <v>8654</v>
      </c>
      <c r="O161" s="39"/>
      <c r="P161" s="39"/>
      <c r="Q161" s="2"/>
    </row>
    <row r="162" spans="1:17" ht="13.2" customHeight="1" x14ac:dyDescent="0.25">
      <c r="A162" s="37">
        <v>160</v>
      </c>
      <c r="B162" s="38" t="s">
        <v>8655</v>
      </c>
      <c r="C162" s="38"/>
      <c r="D162" s="38" t="s">
        <v>8656</v>
      </c>
      <c r="E162" s="38" t="s">
        <v>8657</v>
      </c>
      <c r="F162" s="38" t="s">
        <v>8658</v>
      </c>
      <c r="G162" s="38" t="s">
        <v>8659</v>
      </c>
      <c r="H162" s="38" t="s">
        <v>8660</v>
      </c>
      <c r="I162" s="37" t="s">
        <v>113</v>
      </c>
      <c r="J162" s="38" t="s">
        <v>8661</v>
      </c>
      <c r="K162" s="38"/>
      <c r="L162" s="39" t="s">
        <v>7621</v>
      </c>
      <c r="M162" s="39" t="s">
        <v>3473</v>
      </c>
      <c r="N162" s="38" t="s">
        <v>8662</v>
      </c>
      <c r="O162" s="39"/>
      <c r="P162" s="39"/>
      <c r="Q162" s="2"/>
    </row>
    <row r="163" spans="1:17" ht="13.2" customHeight="1" x14ac:dyDescent="0.25">
      <c r="A163" s="37">
        <v>161</v>
      </c>
      <c r="B163" s="38" t="s">
        <v>8663</v>
      </c>
      <c r="C163" s="38"/>
      <c r="D163" s="38" t="s">
        <v>8664</v>
      </c>
      <c r="E163" s="38" t="s">
        <v>2770</v>
      </c>
      <c r="F163" s="38" t="s">
        <v>8665</v>
      </c>
      <c r="G163" s="38" t="s">
        <v>8666</v>
      </c>
      <c r="H163" s="38" t="s">
        <v>8667</v>
      </c>
      <c r="I163" s="37" t="s">
        <v>96</v>
      </c>
      <c r="J163" s="38" t="s">
        <v>8668</v>
      </c>
      <c r="K163" s="38"/>
      <c r="L163" s="39" t="s">
        <v>7621</v>
      </c>
      <c r="M163" s="39" t="s">
        <v>3473</v>
      </c>
      <c r="N163" s="38" t="s">
        <v>8669</v>
      </c>
      <c r="O163" s="39"/>
      <c r="P163" s="39"/>
      <c r="Q163" s="2"/>
    </row>
    <row r="164" spans="1:17" ht="13.2" customHeight="1" x14ac:dyDescent="0.25">
      <c r="A164" s="37">
        <v>162</v>
      </c>
      <c r="B164" s="38" t="s">
        <v>8670</v>
      </c>
      <c r="C164" s="38"/>
      <c r="D164" s="38" t="s">
        <v>8671</v>
      </c>
      <c r="E164" s="38" t="s">
        <v>8672</v>
      </c>
      <c r="F164" s="38" t="s">
        <v>8673</v>
      </c>
      <c r="G164" s="38" t="s">
        <v>8674</v>
      </c>
      <c r="H164" s="38" t="s">
        <v>8675</v>
      </c>
      <c r="I164" s="37" t="s">
        <v>84</v>
      </c>
      <c r="J164" s="38" t="s">
        <v>8676</v>
      </c>
      <c r="K164" s="38"/>
      <c r="L164" s="39" t="s">
        <v>7621</v>
      </c>
      <c r="M164" s="39" t="s">
        <v>3473</v>
      </c>
      <c r="N164" s="38" t="s">
        <v>8677</v>
      </c>
      <c r="O164" s="39"/>
      <c r="P164" s="39"/>
      <c r="Q164" s="2"/>
    </row>
    <row r="165" spans="1:17" ht="13.2" customHeight="1" x14ac:dyDescent="0.25">
      <c r="A165" s="37">
        <v>163</v>
      </c>
      <c r="B165" s="38" t="s">
        <v>8678</v>
      </c>
      <c r="C165" s="38"/>
      <c r="D165" s="38" t="s">
        <v>3218</v>
      </c>
      <c r="E165" s="38" t="s">
        <v>3219</v>
      </c>
      <c r="F165" s="38" t="s">
        <v>2964</v>
      </c>
      <c r="G165" s="38" t="s">
        <v>2968</v>
      </c>
      <c r="H165" s="38" t="s">
        <v>3220</v>
      </c>
      <c r="I165" s="37" t="s">
        <v>84</v>
      </c>
      <c r="J165" s="38" t="s">
        <v>8679</v>
      </c>
      <c r="K165" s="38"/>
      <c r="L165" s="39" t="s">
        <v>7630</v>
      </c>
      <c r="M165" s="39" t="s">
        <v>3473</v>
      </c>
      <c r="N165" s="38" t="s">
        <v>8680</v>
      </c>
      <c r="O165" s="39"/>
      <c r="P165" s="39"/>
      <c r="Q165" s="2"/>
    </row>
    <row r="166" spans="1:17" ht="13.2" customHeight="1" x14ac:dyDescent="0.25">
      <c r="A166" s="37">
        <v>164</v>
      </c>
      <c r="B166" s="38" t="s">
        <v>8681</v>
      </c>
      <c r="C166" s="38"/>
      <c r="D166" s="38" t="s">
        <v>8682</v>
      </c>
      <c r="E166" s="38" t="s">
        <v>3038</v>
      </c>
      <c r="F166" s="38" t="s">
        <v>2725</v>
      </c>
      <c r="G166" s="38" t="s">
        <v>8683</v>
      </c>
      <c r="H166" s="38" t="s">
        <v>8684</v>
      </c>
      <c r="I166" s="37" t="s">
        <v>84</v>
      </c>
      <c r="J166" s="38" t="s">
        <v>8685</v>
      </c>
      <c r="K166" s="38"/>
      <c r="L166" s="39" t="s">
        <v>7621</v>
      </c>
      <c r="M166" s="39" t="s">
        <v>3473</v>
      </c>
      <c r="N166" s="38" t="s">
        <v>8686</v>
      </c>
      <c r="O166" s="39"/>
      <c r="P166" s="39"/>
      <c r="Q166" s="2"/>
    </row>
    <row r="167" spans="1:17" ht="13.2" customHeight="1" x14ac:dyDescent="0.25">
      <c r="A167" s="37">
        <v>165</v>
      </c>
      <c r="B167" s="38" t="s">
        <v>8687</v>
      </c>
      <c r="C167" s="38"/>
      <c r="D167" s="38" t="s">
        <v>3473</v>
      </c>
      <c r="E167" s="38" t="s">
        <v>8688</v>
      </c>
      <c r="F167" s="38" t="s">
        <v>8689</v>
      </c>
      <c r="G167" s="38" t="s">
        <v>8690</v>
      </c>
      <c r="H167" s="38" t="s">
        <v>8691</v>
      </c>
      <c r="I167" s="37" t="s">
        <v>84</v>
      </c>
      <c r="J167" s="38" t="s">
        <v>8692</v>
      </c>
      <c r="K167" s="38"/>
      <c r="L167" s="39" t="s">
        <v>7621</v>
      </c>
      <c r="M167" s="39" t="s">
        <v>3473</v>
      </c>
      <c r="N167" s="38" t="s">
        <v>8693</v>
      </c>
      <c r="O167" s="39"/>
      <c r="P167" s="39"/>
    </row>
    <row r="168" spans="1:17" ht="13.2" customHeight="1" x14ac:dyDescent="0.25">
      <c r="A168" s="37">
        <v>166</v>
      </c>
      <c r="B168" s="38" t="s">
        <v>8694</v>
      </c>
      <c r="C168" s="38"/>
      <c r="D168" s="38" t="s">
        <v>8695</v>
      </c>
      <c r="E168" s="38" t="s">
        <v>8696</v>
      </c>
      <c r="F168" s="38" t="s">
        <v>8697</v>
      </c>
      <c r="G168" s="38" t="s">
        <v>8698</v>
      </c>
      <c r="H168" s="38" t="s">
        <v>8699</v>
      </c>
      <c r="I168" s="37" t="s">
        <v>84</v>
      </c>
      <c r="J168" s="38" t="s">
        <v>8700</v>
      </c>
      <c r="K168" s="38"/>
      <c r="L168" s="39" t="s">
        <v>7671</v>
      </c>
      <c r="M168" s="39" t="s">
        <v>3473</v>
      </c>
      <c r="N168" s="38" t="s">
        <v>8701</v>
      </c>
      <c r="O168" s="39"/>
      <c r="P168" s="39"/>
      <c r="Q168" s="2"/>
    </row>
    <row r="169" spans="1:17" ht="13.2" customHeight="1" x14ac:dyDescent="0.25">
      <c r="A169" s="37">
        <v>167</v>
      </c>
      <c r="B169" s="38" t="s">
        <v>8702</v>
      </c>
      <c r="C169" s="38"/>
      <c r="D169" s="38" t="s">
        <v>3473</v>
      </c>
      <c r="E169" s="38" t="s">
        <v>8703</v>
      </c>
      <c r="F169" s="38" t="s">
        <v>8476</v>
      </c>
      <c r="G169" s="38" t="s">
        <v>8477</v>
      </c>
      <c r="H169" s="38" t="s">
        <v>8177</v>
      </c>
      <c r="I169" s="37" t="s">
        <v>84</v>
      </c>
      <c r="J169" s="38" t="s">
        <v>8704</v>
      </c>
      <c r="K169" s="38"/>
      <c r="L169" s="39" t="s">
        <v>7621</v>
      </c>
      <c r="M169" s="39" t="s">
        <v>3473</v>
      </c>
      <c r="N169" s="38" t="s">
        <v>1990</v>
      </c>
      <c r="O169" s="39"/>
      <c r="P169" s="39"/>
    </row>
    <row r="170" spans="1:17" ht="13.2" customHeight="1" x14ac:dyDescent="0.25">
      <c r="A170" s="37">
        <v>168</v>
      </c>
      <c r="B170" s="38" t="s">
        <v>8705</v>
      </c>
      <c r="C170" s="38"/>
      <c r="D170" s="38" t="s">
        <v>6029</v>
      </c>
      <c r="E170" s="38" t="s">
        <v>6026</v>
      </c>
      <c r="F170" s="38" t="s">
        <v>8706</v>
      </c>
      <c r="G170" s="38" t="s">
        <v>8707</v>
      </c>
      <c r="H170" s="38" t="s">
        <v>8708</v>
      </c>
      <c r="I170" s="37" t="s">
        <v>84</v>
      </c>
      <c r="J170" s="38" t="s">
        <v>8709</v>
      </c>
      <c r="K170" s="38"/>
      <c r="L170" s="39" t="s">
        <v>7621</v>
      </c>
      <c r="M170" s="39" t="s">
        <v>3473</v>
      </c>
      <c r="N170" s="38" t="s">
        <v>8710</v>
      </c>
      <c r="O170" s="39"/>
      <c r="P170" s="39"/>
      <c r="Q170" s="2"/>
    </row>
    <row r="171" spans="1:17" ht="13.2" customHeight="1" x14ac:dyDescent="0.25">
      <c r="A171" s="37">
        <v>169</v>
      </c>
      <c r="B171" s="38" t="s">
        <v>8681</v>
      </c>
      <c r="C171" s="38"/>
      <c r="D171" s="38" t="s">
        <v>8711</v>
      </c>
      <c r="E171" s="38" t="s">
        <v>8712</v>
      </c>
      <c r="F171" s="38" t="s">
        <v>8713</v>
      </c>
      <c r="G171" s="38" t="s">
        <v>8714</v>
      </c>
      <c r="H171" s="38" t="s">
        <v>6730</v>
      </c>
      <c r="I171" s="37" t="s">
        <v>84</v>
      </c>
      <c r="J171" s="38" t="s">
        <v>8715</v>
      </c>
      <c r="K171" s="38"/>
      <c r="L171" s="39" t="s">
        <v>7621</v>
      </c>
      <c r="M171" s="39" t="s">
        <v>3473</v>
      </c>
      <c r="N171" s="38" t="s">
        <v>8716</v>
      </c>
      <c r="O171" s="39"/>
      <c r="P171" s="39"/>
      <c r="Q171" s="2"/>
    </row>
    <row r="172" spans="1:17" ht="13.2" customHeight="1" x14ac:dyDescent="0.25">
      <c r="A172" s="37">
        <v>170</v>
      </c>
      <c r="B172" s="38" t="s">
        <v>8717</v>
      </c>
      <c r="C172" s="38"/>
      <c r="D172" s="38" t="s">
        <v>3473</v>
      </c>
      <c r="E172" s="38" t="s">
        <v>8690</v>
      </c>
      <c r="F172" s="38" t="s">
        <v>8691</v>
      </c>
      <c r="G172" s="38" t="s">
        <v>8718</v>
      </c>
      <c r="H172" s="38" t="s">
        <v>8719</v>
      </c>
      <c r="I172" s="37" t="s">
        <v>84</v>
      </c>
      <c r="J172" s="38" t="s">
        <v>8720</v>
      </c>
      <c r="K172" s="38"/>
      <c r="L172" s="39" t="s">
        <v>7621</v>
      </c>
      <c r="M172" s="39" t="s">
        <v>3473</v>
      </c>
      <c r="N172" s="38" t="s">
        <v>8721</v>
      </c>
      <c r="O172" s="39"/>
      <c r="P172" s="39"/>
    </row>
    <row r="173" spans="1:17" ht="13.2" customHeight="1" x14ac:dyDescent="0.25">
      <c r="A173" s="37">
        <v>171</v>
      </c>
      <c r="B173" s="38" t="s">
        <v>8722</v>
      </c>
      <c r="C173" s="38"/>
      <c r="D173" s="38" t="s">
        <v>3473</v>
      </c>
      <c r="E173" s="38" t="s">
        <v>8719</v>
      </c>
      <c r="F173" s="38" t="s">
        <v>8703</v>
      </c>
      <c r="G173" s="38" t="s">
        <v>8476</v>
      </c>
      <c r="H173" s="38" t="s">
        <v>8477</v>
      </c>
      <c r="I173" s="37" t="s">
        <v>84</v>
      </c>
      <c r="J173" s="38" t="s">
        <v>8723</v>
      </c>
      <c r="K173" s="38"/>
      <c r="L173" s="39" t="s">
        <v>7621</v>
      </c>
      <c r="M173" s="39" t="s">
        <v>3473</v>
      </c>
      <c r="N173" s="38" t="s">
        <v>8724</v>
      </c>
      <c r="O173" s="39"/>
      <c r="P173" s="39"/>
    </row>
    <row r="174" spans="1:17" ht="13.2" customHeight="1" x14ac:dyDescent="0.25">
      <c r="A174" s="37">
        <v>172</v>
      </c>
      <c r="B174" s="38" t="s">
        <v>8725</v>
      </c>
      <c r="C174" s="38"/>
      <c r="D174" s="38" t="s">
        <v>3473</v>
      </c>
      <c r="E174" s="38" t="s">
        <v>8477</v>
      </c>
      <c r="F174" s="38" t="s">
        <v>8177</v>
      </c>
      <c r="G174" s="38" t="s">
        <v>8478</v>
      </c>
      <c r="H174" s="38" t="s">
        <v>8479</v>
      </c>
      <c r="I174" s="37" t="s">
        <v>84</v>
      </c>
      <c r="J174" s="38" t="s">
        <v>8726</v>
      </c>
      <c r="K174" s="38"/>
      <c r="L174" s="39" t="s">
        <v>7621</v>
      </c>
      <c r="M174" s="39" t="s">
        <v>3473</v>
      </c>
      <c r="N174" s="38" t="s">
        <v>4802</v>
      </c>
      <c r="O174" s="39"/>
      <c r="P174" s="39"/>
    </row>
    <row r="175" spans="1:17" ht="13.2" customHeight="1" x14ac:dyDescent="0.25">
      <c r="A175" s="37">
        <v>173</v>
      </c>
      <c r="B175" s="38" t="s">
        <v>8727</v>
      </c>
      <c r="C175" s="38"/>
      <c r="D175" s="38" t="s">
        <v>3473</v>
      </c>
      <c r="E175" s="38" t="s">
        <v>8479</v>
      </c>
      <c r="F175" s="38" t="s">
        <v>119</v>
      </c>
      <c r="G175" s="38" t="s">
        <v>8688</v>
      </c>
      <c r="H175" s="38" t="s">
        <v>8689</v>
      </c>
      <c r="I175" s="37" t="s">
        <v>84</v>
      </c>
      <c r="J175" s="38" t="s">
        <v>8728</v>
      </c>
      <c r="K175" s="38"/>
      <c r="L175" s="39" t="s">
        <v>7621</v>
      </c>
      <c r="M175" s="39" t="s">
        <v>3473</v>
      </c>
      <c r="N175" s="38" t="s">
        <v>2066</v>
      </c>
      <c r="O175" s="39"/>
      <c r="P175" s="39"/>
    </row>
    <row r="176" spans="1:17" ht="13.2" customHeight="1" x14ac:dyDescent="0.25">
      <c r="A176" s="37">
        <v>174</v>
      </c>
      <c r="B176" s="38" t="s">
        <v>8729</v>
      </c>
      <c r="C176" s="38"/>
      <c r="D176" s="38" t="s">
        <v>3473</v>
      </c>
      <c r="E176" s="38" t="s">
        <v>8689</v>
      </c>
      <c r="F176" s="38" t="s">
        <v>8690</v>
      </c>
      <c r="G176" s="38" t="s">
        <v>8691</v>
      </c>
      <c r="H176" s="38" t="s">
        <v>8718</v>
      </c>
      <c r="I176" s="37" t="s">
        <v>84</v>
      </c>
      <c r="J176" s="38" t="s">
        <v>8730</v>
      </c>
      <c r="K176" s="38"/>
      <c r="L176" s="39" t="s">
        <v>7621</v>
      </c>
      <c r="M176" s="39" t="s">
        <v>3473</v>
      </c>
      <c r="N176" s="38" t="s">
        <v>6072</v>
      </c>
      <c r="O176" s="39"/>
      <c r="P176" s="39"/>
    </row>
    <row r="177" spans="1:17" ht="13.2" customHeight="1" x14ac:dyDescent="0.25">
      <c r="A177" s="37">
        <v>175</v>
      </c>
      <c r="B177" s="38" t="s">
        <v>8731</v>
      </c>
      <c r="C177" s="38"/>
      <c r="D177" s="38" t="s">
        <v>3473</v>
      </c>
      <c r="E177" s="38" t="s">
        <v>8718</v>
      </c>
      <c r="F177" s="38" t="s">
        <v>8719</v>
      </c>
      <c r="G177" s="38" t="s">
        <v>8703</v>
      </c>
      <c r="H177" s="38" t="s">
        <v>8476</v>
      </c>
      <c r="I177" s="37" t="s">
        <v>84</v>
      </c>
      <c r="J177" s="38" t="s">
        <v>8732</v>
      </c>
      <c r="K177" s="38"/>
      <c r="L177" s="39" t="s">
        <v>7621</v>
      </c>
      <c r="M177" s="39" t="s">
        <v>3473</v>
      </c>
      <c r="N177" s="38" t="s">
        <v>4814</v>
      </c>
      <c r="O177" s="39"/>
      <c r="P177" s="39"/>
    </row>
    <row r="178" spans="1:17" ht="13.2" customHeight="1" x14ac:dyDescent="0.25">
      <c r="A178" s="37">
        <v>176</v>
      </c>
      <c r="B178" s="38" t="s">
        <v>8733</v>
      </c>
      <c r="C178" s="38"/>
      <c r="D178" s="38" t="s">
        <v>3473</v>
      </c>
      <c r="E178" s="38" t="s">
        <v>8476</v>
      </c>
      <c r="F178" s="38" t="s">
        <v>8477</v>
      </c>
      <c r="G178" s="38" t="s">
        <v>8177</v>
      </c>
      <c r="H178" s="38" t="s">
        <v>8478</v>
      </c>
      <c r="I178" s="37" t="s">
        <v>84</v>
      </c>
      <c r="J178" s="38" t="s">
        <v>8734</v>
      </c>
      <c r="K178" s="38"/>
      <c r="L178" s="39" t="s">
        <v>7621</v>
      </c>
      <c r="M178" s="39" t="s">
        <v>3473</v>
      </c>
      <c r="N178" s="38" t="s">
        <v>8735</v>
      </c>
      <c r="O178" s="39"/>
      <c r="P178" s="39"/>
    </row>
    <row r="179" spans="1:17" ht="13.2" customHeight="1" x14ac:dyDescent="0.25">
      <c r="A179" s="37">
        <v>177</v>
      </c>
      <c r="B179" s="38" t="s">
        <v>8736</v>
      </c>
      <c r="C179" s="38"/>
      <c r="D179" s="38" t="s">
        <v>3473</v>
      </c>
      <c r="E179" s="38" t="s">
        <v>8478</v>
      </c>
      <c r="F179" s="38" t="s">
        <v>8479</v>
      </c>
      <c r="G179" s="38" t="s">
        <v>119</v>
      </c>
      <c r="H179" s="38" t="s">
        <v>8688</v>
      </c>
      <c r="I179" s="37" t="s">
        <v>84</v>
      </c>
      <c r="J179" s="38" t="s">
        <v>8737</v>
      </c>
      <c r="K179" s="38"/>
      <c r="L179" s="39" t="s">
        <v>7621</v>
      </c>
      <c r="M179" s="39" t="s">
        <v>3473</v>
      </c>
      <c r="N179" s="38" t="s">
        <v>8738</v>
      </c>
      <c r="O179" s="39"/>
      <c r="P179" s="39"/>
    </row>
    <row r="180" spans="1:17" ht="13.2" customHeight="1" x14ac:dyDescent="0.25">
      <c r="A180" s="37">
        <v>178</v>
      </c>
      <c r="B180" s="38" t="s">
        <v>8739</v>
      </c>
      <c r="C180" s="38"/>
      <c r="D180" s="38" t="s">
        <v>3473</v>
      </c>
      <c r="E180" s="38" t="s">
        <v>8688</v>
      </c>
      <c r="F180" s="38" t="s">
        <v>8689</v>
      </c>
      <c r="G180" s="38" t="s">
        <v>8690</v>
      </c>
      <c r="H180" s="38" t="s">
        <v>8691</v>
      </c>
      <c r="I180" s="37" t="s">
        <v>84</v>
      </c>
      <c r="J180" s="38" t="s">
        <v>8740</v>
      </c>
      <c r="K180" s="38"/>
      <c r="L180" s="39" t="s">
        <v>7671</v>
      </c>
      <c r="M180" s="39" t="s">
        <v>3473</v>
      </c>
      <c r="N180" s="38" t="s">
        <v>4814</v>
      </c>
      <c r="O180" s="39"/>
      <c r="P180" s="39"/>
    </row>
    <row r="181" spans="1:17" ht="13.2" customHeight="1" x14ac:dyDescent="0.25">
      <c r="A181" s="37">
        <v>179</v>
      </c>
      <c r="B181" s="38" t="s">
        <v>8741</v>
      </c>
      <c r="C181" s="38"/>
      <c r="D181" s="38" t="s">
        <v>3473</v>
      </c>
      <c r="E181" s="38" t="s">
        <v>8742</v>
      </c>
      <c r="F181" s="38" t="s">
        <v>8718</v>
      </c>
      <c r="G181" s="38" t="s">
        <v>8719</v>
      </c>
      <c r="H181" s="38" t="s">
        <v>8703</v>
      </c>
      <c r="I181" s="37" t="s">
        <v>84</v>
      </c>
      <c r="J181" s="38" t="s">
        <v>8743</v>
      </c>
      <c r="K181" s="38"/>
      <c r="L181" s="39" t="s">
        <v>8225</v>
      </c>
      <c r="M181" s="39" t="s">
        <v>3473</v>
      </c>
      <c r="N181" s="38" t="s">
        <v>8744</v>
      </c>
      <c r="O181" s="39"/>
      <c r="P181" s="39"/>
    </row>
    <row r="182" spans="1:17" ht="13.2" customHeight="1" x14ac:dyDescent="0.25">
      <c r="A182" s="37">
        <v>180</v>
      </c>
      <c r="B182" s="38" t="s">
        <v>8745</v>
      </c>
      <c r="C182" s="38"/>
      <c r="D182" s="38" t="s">
        <v>3473</v>
      </c>
      <c r="E182" s="38" t="s">
        <v>8703</v>
      </c>
      <c r="F182" s="38" t="s">
        <v>8476</v>
      </c>
      <c r="G182" s="38" t="s">
        <v>8477</v>
      </c>
      <c r="H182" s="38" t="s">
        <v>8177</v>
      </c>
      <c r="I182" s="37" t="s">
        <v>123</v>
      </c>
      <c r="J182" s="38" t="s">
        <v>8746</v>
      </c>
      <c r="K182" s="38"/>
      <c r="L182" s="39" t="s">
        <v>7621</v>
      </c>
      <c r="M182" s="39" t="s">
        <v>3473</v>
      </c>
      <c r="N182" s="38" t="s">
        <v>4809</v>
      </c>
      <c r="O182" s="39"/>
      <c r="P182" s="39"/>
    </row>
    <row r="183" spans="1:17" ht="13.2" customHeight="1" x14ac:dyDescent="0.25">
      <c r="A183" s="37">
        <v>181</v>
      </c>
      <c r="B183" s="38" t="s">
        <v>8747</v>
      </c>
      <c r="C183" s="38"/>
      <c r="D183" s="38" t="s">
        <v>8748</v>
      </c>
      <c r="E183" s="38" t="s">
        <v>8749</v>
      </c>
      <c r="F183" s="38" t="s">
        <v>8750</v>
      </c>
      <c r="G183" s="38" t="s">
        <v>8750</v>
      </c>
      <c r="H183" s="38" t="s">
        <v>8751</v>
      </c>
      <c r="I183" s="37" t="s">
        <v>84</v>
      </c>
      <c r="J183" s="38" t="s">
        <v>8752</v>
      </c>
      <c r="K183" s="38"/>
      <c r="L183" s="39" t="s">
        <v>7621</v>
      </c>
      <c r="M183" s="39" t="s">
        <v>3473</v>
      </c>
      <c r="N183" s="38" t="s">
        <v>8753</v>
      </c>
      <c r="O183" s="39"/>
      <c r="P183" s="39"/>
      <c r="Q183" s="2"/>
    </row>
    <row r="184" spans="1:17" ht="13.2" customHeight="1" x14ac:dyDescent="0.25">
      <c r="A184" s="37">
        <v>182</v>
      </c>
      <c r="B184" s="38" t="s">
        <v>8754</v>
      </c>
      <c r="C184" s="38"/>
      <c r="D184" s="38" t="s">
        <v>8755</v>
      </c>
      <c r="E184" s="38" t="s">
        <v>8756</v>
      </c>
      <c r="F184" s="38" t="s">
        <v>8750</v>
      </c>
      <c r="G184" s="38" t="s">
        <v>8750</v>
      </c>
      <c r="H184" s="38" t="s">
        <v>8751</v>
      </c>
      <c r="I184" s="37" t="s">
        <v>84</v>
      </c>
      <c r="J184" s="38" t="s">
        <v>8757</v>
      </c>
      <c r="K184" s="38"/>
      <c r="L184" s="39" t="s">
        <v>7621</v>
      </c>
      <c r="M184" s="39" t="s">
        <v>3473</v>
      </c>
      <c r="N184" s="38" t="s">
        <v>8758</v>
      </c>
      <c r="O184" s="39"/>
      <c r="P184" s="39"/>
      <c r="Q184" s="2"/>
    </row>
    <row r="185" spans="1:17" ht="13.2" customHeight="1" x14ac:dyDescent="0.25">
      <c r="A185" s="37">
        <v>183</v>
      </c>
      <c r="B185" s="38" t="s">
        <v>8759</v>
      </c>
      <c r="C185" s="38"/>
      <c r="D185" s="38" t="s">
        <v>3737</v>
      </c>
      <c r="E185" s="38" t="s">
        <v>3050</v>
      </c>
      <c r="F185" s="38" t="s">
        <v>3791</v>
      </c>
      <c r="G185" s="38" t="s">
        <v>8760</v>
      </c>
      <c r="H185" s="38" t="s">
        <v>8751</v>
      </c>
      <c r="I185" s="37" t="s">
        <v>84</v>
      </c>
      <c r="J185" s="38" t="s">
        <v>8761</v>
      </c>
      <c r="K185" s="38"/>
      <c r="L185" s="39" t="s">
        <v>7621</v>
      </c>
      <c r="M185" s="39" t="s">
        <v>3473</v>
      </c>
      <c r="N185" s="38" t="s">
        <v>8762</v>
      </c>
      <c r="O185" s="39"/>
      <c r="P185" s="39"/>
      <c r="Q185" s="2"/>
    </row>
    <row r="186" spans="1:17" ht="13.2" customHeight="1" x14ac:dyDescent="0.25">
      <c r="A186" s="37">
        <v>184</v>
      </c>
      <c r="B186" s="38" t="s">
        <v>8763</v>
      </c>
      <c r="C186" s="38"/>
      <c r="D186" s="38" t="s">
        <v>3473</v>
      </c>
      <c r="E186" s="38" t="s">
        <v>8719</v>
      </c>
      <c r="F186" s="38" t="s">
        <v>8703</v>
      </c>
      <c r="G186" s="38" t="s">
        <v>8476</v>
      </c>
      <c r="H186" s="38" t="s">
        <v>8477</v>
      </c>
      <c r="I186" s="37" t="s">
        <v>84</v>
      </c>
      <c r="J186" s="38" t="s">
        <v>8723</v>
      </c>
      <c r="K186" s="38"/>
      <c r="L186" s="39" t="s">
        <v>7621</v>
      </c>
      <c r="M186" s="39" t="s">
        <v>3473</v>
      </c>
      <c r="N186" s="38" t="s">
        <v>4825</v>
      </c>
      <c r="O186" s="39"/>
      <c r="P186" s="39"/>
    </row>
    <row r="187" spans="1:17" ht="13.2" customHeight="1" x14ac:dyDescent="0.25">
      <c r="A187" s="37">
        <v>185</v>
      </c>
      <c r="B187" s="38" t="s">
        <v>8764</v>
      </c>
      <c r="C187" s="38"/>
      <c r="D187" s="38" t="s">
        <v>8765</v>
      </c>
      <c r="E187" s="38" t="s">
        <v>8766</v>
      </c>
      <c r="F187" s="38" t="s">
        <v>8767</v>
      </c>
      <c r="G187" s="38" t="s">
        <v>8768</v>
      </c>
      <c r="H187" s="38" t="s">
        <v>8769</v>
      </c>
      <c r="I187" s="37" t="s">
        <v>84</v>
      </c>
      <c r="J187" s="38" t="s">
        <v>8770</v>
      </c>
      <c r="K187" s="38"/>
      <c r="L187" s="39" t="s">
        <v>7621</v>
      </c>
      <c r="M187" s="39" t="s">
        <v>3473</v>
      </c>
      <c r="N187" s="38" t="s">
        <v>8771</v>
      </c>
      <c r="O187" s="39"/>
      <c r="P187" s="39"/>
      <c r="Q187" s="2"/>
    </row>
    <row r="188" spans="1:17" ht="13.2" customHeight="1" x14ac:dyDescent="0.25">
      <c r="A188" s="37">
        <v>186</v>
      </c>
      <c r="B188" s="38" t="s">
        <v>8772</v>
      </c>
      <c r="C188" s="38"/>
      <c r="D188" s="38" t="s">
        <v>8773</v>
      </c>
      <c r="E188" s="38" t="s">
        <v>8774</v>
      </c>
      <c r="F188" s="38" t="s">
        <v>8775</v>
      </c>
      <c r="G188" s="38" t="s">
        <v>8776</v>
      </c>
      <c r="H188" s="38" t="s">
        <v>8777</v>
      </c>
      <c r="I188" s="37" t="s">
        <v>84</v>
      </c>
      <c r="J188" s="38" t="s">
        <v>8778</v>
      </c>
      <c r="K188" s="38"/>
      <c r="L188" s="39" t="s">
        <v>7856</v>
      </c>
      <c r="M188" s="39" t="s">
        <v>3473</v>
      </c>
      <c r="N188" s="38" t="s">
        <v>8779</v>
      </c>
      <c r="O188" s="39"/>
      <c r="P188" s="39"/>
      <c r="Q188" s="2"/>
    </row>
    <row r="189" spans="1:17" ht="13.2" customHeight="1" x14ac:dyDescent="0.25">
      <c r="A189" s="37">
        <v>187</v>
      </c>
      <c r="B189" s="38" t="s">
        <v>8780</v>
      </c>
      <c r="C189" s="38"/>
      <c r="D189" s="38" t="s">
        <v>3473</v>
      </c>
      <c r="E189" s="38" t="s">
        <v>8689</v>
      </c>
      <c r="F189" s="38" t="s">
        <v>8690</v>
      </c>
      <c r="G189" s="38" t="s">
        <v>8691</v>
      </c>
      <c r="H189" s="38" t="s">
        <v>8718</v>
      </c>
      <c r="I189" s="37" t="s">
        <v>84</v>
      </c>
      <c r="J189" s="38" t="s">
        <v>8781</v>
      </c>
      <c r="K189" s="38"/>
      <c r="L189" s="39" t="s">
        <v>7856</v>
      </c>
      <c r="M189" s="39" t="s">
        <v>3473</v>
      </c>
      <c r="N189" s="38" t="s">
        <v>8782</v>
      </c>
      <c r="O189" s="39"/>
      <c r="P189" s="39"/>
    </row>
    <row r="190" spans="1:17" ht="13.2" customHeight="1" x14ac:dyDescent="0.25">
      <c r="A190" s="37">
        <v>188</v>
      </c>
      <c r="B190" s="38" t="s">
        <v>8783</v>
      </c>
      <c r="C190" s="38"/>
      <c r="D190" s="38" t="s">
        <v>8784</v>
      </c>
      <c r="E190" s="38" t="s">
        <v>8785</v>
      </c>
      <c r="F190" s="38" t="s">
        <v>8786</v>
      </c>
      <c r="G190" s="38" t="s">
        <v>8787</v>
      </c>
      <c r="H190" s="38" t="s">
        <v>8788</v>
      </c>
      <c r="I190" s="37" t="s">
        <v>84</v>
      </c>
      <c r="J190" s="38" t="s">
        <v>8789</v>
      </c>
      <c r="K190" s="38"/>
      <c r="L190" s="39" t="s">
        <v>7621</v>
      </c>
      <c r="M190" s="39" t="s">
        <v>3473</v>
      </c>
      <c r="N190" s="38" t="s">
        <v>8790</v>
      </c>
      <c r="O190" s="39"/>
      <c r="P190" s="39"/>
      <c r="Q190" s="2"/>
    </row>
    <row r="191" spans="1:17" ht="13.2" customHeight="1" x14ac:dyDescent="0.25">
      <c r="A191" s="37">
        <v>189</v>
      </c>
      <c r="B191" s="38" t="s">
        <v>8791</v>
      </c>
      <c r="C191" s="38"/>
      <c r="D191" s="38" t="s">
        <v>8792</v>
      </c>
      <c r="E191" s="38" t="s">
        <v>8793</v>
      </c>
      <c r="F191" s="38" t="s">
        <v>8794</v>
      </c>
      <c r="G191" s="38" t="s">
        <v>6783</v>
      </c>
      <c r="H191" s="38" t="s">
        <v>6783</v>
      </c>
      <c r="I191" s="37" t="s">
        <v>84</v>
      </c>
      <c r="J191" s="38" t="s">
        <v>8795</v>
      </c>
      <c r="K191" s="38"/>
      <c r="L191" s="39" t="s">
        <v>7621</v>
      </c>
      <c r="M191" s="39" t="s">
        <v>3473</v>
      </c>
      <c r="N191" s="38" t="s">
        <v>8796</v>
      </c>
      <c r="O191" s="39"/>
      <c r="P191" s="39"/>
      <c r="Q191" s="2"/>
    </row>
    <row r="192" spans="1:17" ht="13.2" customHeight="1" x14ac:dyDescent="0.25">
      <c r="A192" s="37">
        <v>190</v>
      </c>
      <c r="B192" s="38" t="s">
        <v>8797</v>
      </c>
      <c r="C192" s="38"/>
      <c r="D192" s="38" t="s">
        <v>3473</v>
      </c>
      <c r="E192" s="38" t="s">
        <v>8478</v>
      </c>
      <c r="F192" s="38" t="s">
        <v>8479</v>
      </c>
      <c r="G192" s="38" t="s">
        <v>119</v>
      </c>
      <c r="H192" s="38" t="s">
        <v>8688</v>
      </c>
      <c r="I192" s="37" t="s">
        <v>84</v>
      </c>
      <c r="J192" s="38" t="s">
        <v>8798</v>
      </c>
      <c r="K192" s="38"/>
      <c r="L192" s="39" t="s">
        <v>7856</v>
      </c>
      <c r="M192" s="39" t="s">
        <v>3473</v>
      </c>
      <c r="N192" s="38" t="s">
        <v>8799</v>
      </c>
      <c r="O192" s="39"/>
      <c r="P192" s="39"/>
    </row>
    <row r="193" spans="1:17" ht="13.2" customHeight="1" x14ac:dyDescent="0.25">
      <c r="A193" s="37">
        <v>191</v>
      </c>
      <c r="B193" s="38" t="s">
        <v>8800</v>
      </c>
      <c r="C193" s="38"/>
      <c r="D193" s="38" t="s">
        <v>3473</v>
      </c>
      <c r="E193" s="38" t="s">
        <v>8801</v>
      </c>
      <c r="F193" s="38" t="s">
        <v>8802</v>
      </c>
      <c r="G193" s="38" t="s">
        <v>8803</v>
      </c>
      <c r="H193" s="38" t="s">
        <v>8177</v>
      </c>
      <c r="I193" s="37" t="s">
        <v>84</v>
      </c>
      <c r="J193" s="38" t="s">
        <v>8804</v>
      </c>
      <c r="K193" s="38"/>
      <c r="L193" s="39" t="s">
        <v>7856</v>
      </c>
      <c r="M193" s="39" t="s">
        <v>3473</v>
      </c>
      <c r="N193" s="38" t="s">
        <v>8805</v>
      </c>
      <c r="O193" s="39"/>
      <c r="P193" s="39"/>
    </row>
    <row r="194" spans="1:17" ht="13.2" customHeight="1" x14ac:dyDescent="0.25">
      <c r="A194" s="37">
        <v>192</v>
      </c>
      <c r="B194" s="38" t="s">
        <v>8806</v>
      </c>
      <c r="C194" s="38"/>
      <c r="D194" s="38" t="s">
        <v>3473</v>
      </c>
      <c r="E194" s="38" t="s">
        <v>8807</v>
      </c>
      <c r="F194" s="38" t="s">
        <v>8808</v>
      </c>
      <c r="G194" s="38" t="s">
        <v>8809</v>
      </c>
      <c r="H194" s="38" t="s">
        <v>119</v>
      </c>
      <c r="I194" s="37" t="s">
        <v>84</v>
      </c>
      <c r="J194" s="38" t="s">
        <v>8810</v>
      </c>
      <c r="K194" s="38"/>
      <c r="L194" s="39" t="s">
        <v>7856</v>
      </c>
      <c r="M194" s="39" t="s">
        <v>3473</v>
      </c>
      <c r="N194" s="38" t="s">
        <v>8811</v>
      </c>
      <c r="O194" s="39"/>
      <c r="P194" s="39"/>
    </row>
    <row r="195" spans="1:17" ht="13.2" customHeight="1" x14ac:dyDescent="0.25">
      <c r="A195" s="37">
        <v>193</v>
      </c>
      <c r="B195" s="38" t="s">
        <v>8812</v>
      </c>
      <c r="C195" s="38"/>
      <c r="D195" s="38" t="s">
        <v>3473</v>
      </c>
      <c r="E195" s="38" t="s">
        <v>8813</v>
      </c>
      <c r="F195" s="38" t="s">
        <v>8814</v>
      </c>
      <c r="G195" s="38" t="s">
        <v>8815</v>
      </c>
      <c r="H195" s="38" t="s">
        <v>8719</v>
      </c>
      <c r="I195" s="37" t="s">
        <v>84</v>
      </c>
      <c r="J195" s="38" t="s">
        <v>8816</v>
      </c>
      <c r="K195" s="38"/>
      <c r="L195" s="39" t="s">
        <v>7856</v>
      </c>
      <c r="M195" s="39" t="s">
        <v>3473</v>
      </c>
      <c r="N195" s="38" t="s">
        <v>8817</v>
      </c>
      <c r="O195" s="39"/>
      <c r="P195" s="39"/>
    </row>
    <row r="196" spans="1:17" ht="13.2" customHeight="1" x14ac:dyDescent="0.25">
      <c r="A196" s="37">
        <v>194</v>
      </c>
      <c r="B196" s="38" t="s">
        <v>8818</v>
      </c>
      <c r="C196" s="38"/>
      <c r="D196" s="38" t="s">
        <v>3473</v>
      </c>
      <c r="E196" s="38" t="s">
        <v>8719</v>
      </c>
      <c r="F196" s="38" t="s">
        <v>8703</v>
      </c>
      <c r="G196" s="38" t="s">
        <v>8476</v>
      </c>
      <c r="H196" s="38" t="s">
        <v>8477</v>
      </c>
      <c r="I196" s="37" t="s">
        <v>84</v>
      </c>
      <c r="J196" s="38" t="s">
        <v>8723</v>
      </c>
      <c r="K196" s="38"/>
      <c r="L196" s="39" t="s">
        <v>7621</v>
      </c>
      <c r="M196" s="39" t="s">
        <v>3473</v>
      </c>
      <c r="N196" s="38" t="s">
        <v>8819</v>
      </c>
      <c r="O196" s="39"/>
      <c r="P196" s="39"/>
    </row>
    <row r="197" spans="1:17" ht="13.2" customHeight="1" x14ac:dyDescent="0.25">
      <c r="A197" s="37">
        <v>195</v>
      </c>
      <c r="B197" s="38" t="s">
        <v>8820</v>
      </c>
      <c r="C197" s="38"/>
      <c r="D197" s="38" t="s">
        <v>3473</v>
      </c>
      <c r="E197" s="38" t="s">
        <v>8477</v>
      </c>
      <c r="F197" s="38" t="s">
        <v>8177</v>
      </c>
      <c r="G197" s="38" t="s">
        <v>8478</v>
      </c>
      <c r="H197" s="38" t="s">
        <v>8479</v>
      </c>
      <c r="I197" s="37" t="s">
        <v>84</v>
      </c>
      <c r="J197" s="38" t="s">
        <v>8726</v>
      </c>
      <c r="K197" s="38"/>
      <c r="L197" s="39" t="s">
        <v>7621</v>
      </c>
      <c r="M197" s="39" t="s">
        <v>3473</v>
      </c>
      <c r="N197" s="38" t="s">
        <v>8821</v>
      </c>
      <c r="O197" s="39"/>
      <c r="P197" s="39"/>
    </row>
    <row r="198" spans="1:17" ht="13.2" customHeight="1" x14ac:dyDescent="0.25">
      <c r="A198" s="37">
        <v>196</v>
      </c>
      <c r="B198" s="38" t="s">
        <v>8822</v>
      </c>
      <c r="C198" s="38"/>
      <c r="D198" s="38" t="s">
        <v>8823</v>
      </c>
      <c r="E198" s="38" t="s">
        <v>8824</v>
      </c>
      <c r="F198" s="38" t="s">
        <v>8825</v>
      </c>
      <c r="G198" s="38" t="s">
        <v>8826</v>
      </c>
      <c r="H198" s="38" t="s">
        <v>8827</v>
      </c>
      <c r="I198" s="37" t="s">
        <v>84</v>
      </c>
      <c r="J198" s="38" t="s">
        <v>8828</v>
      </c>
      <c r="K198" s="38"/>
      <c r="L198" s="39" t="s">
        <v>7856</v>
      </c>
      <c r="M198" s="39" t="s">
        <v>3473</v>
      </c>
      <c r="N198" s="38" t="s">
        <v>8829</v>
      </c>
      <c r="O198" s="39"/>
      <c r="P198" s="39"/>
      <c r="Q198" s="2"/>
    </row>
    <row r="199" spans="1:17" ht="13.2" customHeight="1" x14ac:dyDescent="0.25">
      <c r="A199" s="37">
        <v>197</v>
      </c>
      <c r="B199" s="38" t="s">
        <v>8830</v>
      </c>
      <c r="C199" s="38"/>
      <c r="D199" s="38" t="s">
        <v>6176</v>
      </c>
      <c r="E199" s="38" t="s">
        <v>8831</v>
      </c>
      <c r="F199" s="38" t="s">
        <v>8832</v>
      </c>
      <c r="G199" s="38" t="s">
        <v>8833</v>
      </c>
      <c r="H199" s="38" t="s">
        <v>8834</v>
      </c>
      <c r="I199" s="37" t="s">
        <v>84</v>
      </c>
      <c r="J199" s="38" t="s">
        <v>8835</v>
      </c>
      <c r="K199" s="38"/>
      <c r="L199" s="39" t="s">
        <v>7621</v>
      </c>
      <c r="M199" s="39" t="s">
        <v>29</v>
      </c>
      <c r="N199" s="38" t="s">
        <v>8836</v>
      </c>
      <c r="O199" s="39"/>
      <c r="P199" s="39"/>
    </row>
    <row r="200" spans="1:17" ht="13.2" customHeight="1" x14ac:dyDescent="0.25">
      <c r="A200" s="37">
        <v>198</v>
      </c>
      <c r="B200" s="38" t="s">
        <v>8837</v>
      </c>
      <c r="C200" s="38"/>
      <c r="D200" s="38" t="s">
        <v>8838</v>
      </c>
      <c r="E200" s="38" t="s">
        <v>8839</v>
      </c>
      <c r="F200" s="38" t="s">
        <v>8840</v>
      </c>
      <c r="G200" s="38" t="s">
        <v>8841</v>
      </c>
      <c r="H200" s="38" t="s">
        <v>8842</v>
      </c>
      <c r="I200" s="37" t="s">
        <v>84</v>
      </c>
      <c r="J200" s="38" t="s">
        <v>8843</v>
      </c>
      <c r="K200" s="38"/>
      <c r="L200" s="39" t="s">
        <v>516</v>
      </c>
      <c r="M200" s="39" t="s">
        <v>29</v>
      </c>
      <c r="N200" s="38" t="s">
        <v>8844</v>
      </c>
      <c r="O200" s="39"/>
      <c r="P200" s="39"/>
    </row>
    <row r="201" spans="1:17" ht="13.2" customHeight="1" x14ac:dyDescent="0.25">
      <c r="A201" s="37">
        <v>199</v>
      </c>
      <c r="B201" s="38" t="s">
        <v>8845</v>
      </c>
      <c r="C201" s="38"/>
      <c r="D201" s="38" t="s">
        <v>8846</v>
      </c>
      <c r="E201" s="38" t="s">
        <v>8847</v>
      </c>
      <c r="F201" s="38" t="s">
        <v>8848</v>
      </c>
      <c r="G201" s="38" t="s">
        <v>8849</v>
      </c>
      <c r="H201" s="38" t="s">
        <v>8850</v>
      </c>
      <c r="I201" s="37" t="s">
        <v>84</v>
      </c>
      <c r="J201" s="38" t="s">
        <v>8851</v>
      </c>
      <c r="K201" s="38"/>
      <c r="L201" s="39" t="s">
        <v>7621</v>
      </c>
      <c r="M201" s="39" t="s">
        <v>29</v>
      </c>
      <c r="N201" s="38" t="s">
        <v>8852</v>
      </c>
      <c r="O201" s="39"/>
      <c r="P201" s="39"/>
    </row>
    <row r="202" spans="1:17" ht="13.2" customHeight="1" x14ac:dyDescent="0.25">
      <c r="A202" s="37">
        <v>200</v>
      </c>
      <c r="B202" s="38" t="s">
        <v>8853</v>
      </c>
      <c r="C202" s="38"/>
      <c r="D202" s="38" t="s">
        <v>8854</v>
      </c>
      <c r="E202" s="38" t="s">
        <v>8855</v>
      </c>
      <c r="F202" s="38" t="s">
        <v>8856</v>
      </c>
      <c r="G202" s="38" t="s">
        <v>8857</v>
      </c>
      <c r="H202" s="38" t="s">
        <v>8858</v>
      </c>
      <c r="I202" s="37" t="s">
        <v>84</v>
      </c>
      <c r="J202" s="38" t="s">
        <v>8859</v>
      </c>
      <c r="K202" s="38"/>
      <c r="L202" s="39" t="s">
        <v>7856</v>
      </c>
      <c r="M202" s="39" t="s">
        <v>29</v>
      </c>
      <c r="N202" s="38" t="s">
        <v>8860</v>
      </c>
      <c r="O202" s="39"/>
      <c r="P202" s="39"/>
    </row>
    <row r="203" spans="1:17" ht="13.2" customHeight="1" x14ac:dyDescent="0.25">
      <c r="A203" s="37">
        <v>201</v>
      </c>
      <c r="B203" s="38" t="s">
        <v>8861</v>
      </c>
      <c r="C203" s="38"/>
      <c r="D203" s="41" t="s">
        <v>8862</v>
      </c>
      <c r="E203" s="41" t="s">
        <v>8863</v>
      </c>
      <c r="F203" s="41" t="s">
        <v>8864</v>
      </c>
      <c r="G203" s="41" t="s">
        <v>8865</v>
      </c>
      <c r="H203" s="41" t="s">
        <v>8866</v>
      </c>
      <c r="I203" s="37" t="s">
        <v>84</v>
      </c>
      <c r="J203" s="38" t="s">
        <v>8867</v>
      </c>
      <c r="K203" s="38"/>
      <c r="L203" s="39" t="s">
        <v>7621</v>
      </c>
      <c r="M203" s="39" t="s">
        <v>29</v>
      </c>
      <c r="N203" s="38" t="s">
        <v>8868</v>
      </c>
      <c r="O203" s="39"/>
      <c r="P203" s="39"/>
    </row>
    <row r="204" spans="1:17" ht="13.2" customHeight="1" x14ac:dyDescent="0.25">
      <c r="A204" s="37">
        <v>202</v>
      </c>
      <c r="B204" s="38" t="s">
        <v>8869</v>
      </c>
      <c r="C204" s="38"/>
      <c r="D204" s="38" t="s">
        <v>8870</v>
      </c>
      <c r="E204" s="38" t="s">
        <v>8871</v>
      </c>
      <c r="F204" s="38" t="s">
        <v>8872</v>
      </c>
      <c r="G204" s="38" t="s">
        <v>8873</v>
      </c>
      <c r="H204" s="38" t="s">
        <v>8874</v>
      </c>
      <c r="I204" s="37" t="s">
        <v>84</v>
      </c>
      <c r="J204" s="38" t="s">
        <v>8875</v>
      </c>
      <c r="K204" s="38"/>
      <c r="L204" s="39" t="s">
        <v>7621</v>
      </c>
      <c r="M204" s="39" t="s">
        <v>29</v>
      </c>
      <c r="N204" s="38" t="s">
        <v>8876</v>
      </c>
      <c r="O204" s="39"/>
      <c r="P204" s="39"/>
    </row>
    <row r="205" spans="1:17" ht="13.2" customHeight="1" x14ac:dyDescent="0.25">
      <c r="A205" s="37">
        <v>203</v>
      </c>
      <c r="B205" s="38" t="s">
        <v>8877</v>
      </c>
      <c r="C205" s="38"/>
      <c r="D205" s="38" t="s">
        <v>8878</v>
      </c>
      <c r="E205" s="38" t="s">
        <v>8879</v>
      </c>
      <c r="F205" s="38" t="s">
        <v>8629</v>
      </c>
      <c r="G205" s="38" t="s">
        <v>8880</v>
      </c>
      <c r="H205" s="38" t="s">
        <v>8881</v>
      </c>
      <c r="I205" s="37" t="s">
        <v>84</v>
      </c>
      <c r="J205" s="38" t="s">
        <v>8882</v>
      </c>
      <c r="K205" s="38"/>
      <c r="L205" s="39" t="s">
        <v>7621</v>
      </c>
      <c r="M205" s="39" t="s">
        <v>29</v>
      </c>
      <c r="N205" s="38" t="s">
        <v>8883</v>
      </c>
      <c r="O205" s="39"/>
      <c r="P205" s="39"/>
    </row>
    <row r="206" spans="1:17" ht="13.2" customHeight="1" x14ac:dyDescent="0.25">
      <c r="A206" s="37">
        <v>204</v>
      </c>
      <c r="B206" s="38" t="s">
        <v>8884</v>
      </c>
      <c r="C206" s="38"/>
      <c r="D206" s="38" t="s">
        <v>8885</v>
      </c>
      <c r="E206" s="38" t="s">
        <v>8886</v>
      </c>
      <c r="F206" s="38" t="s">
        <v>8887</v>
      </c>
      <c r="G206" s="38" t="s">
        <v>8888</v>
      </c>
      <c r="H206" s="38" t="s">
        <v>8889</v>
      </c>
      <c r="I206" s="37" t="s">
        <v>84</v>
      </c>
      <c r="J206" s="38" t="s">
        <v>8890</v>
      </c>
      <c r="K206" s="38"/>
      <c r="L206" s="39" t="s">
        <v>7621</v>
      </c>
      <c r="M206" s="39" t="s">
        <v>29</v>
      </c>
      <c r="N206" s="38" t="s">
        <v>8891</v>
      </c>
      <c r="O206" s="39"/>
      <c r="P206" s="39"/>
    </row>
    <row r="207" spans="1:17" ht="13.2" customHeight="1" x14ac:dyDescent="0.25">
      <c r="A207" s="37">
        <v>205</v>
      </c>
      <c r="B207" s="38" t="s">
        <v>8892</v>
      </c>
      <c r="C207" s="38"/>
      <c r="D207" s="38" t="s">
        <v>3530</v>
      </c>
      <c r="E207" s="38" t="s">
        <v>3008</v>
      </c>
      <c r="F207" s="38" t="s">
        <v>8893</v>
      </c>
      <c r="G207" s="38" t="s">
        <v>8894</v>
      </c>
      <c r="H207" s="38" t="s">
        <v>8895</v>
      </c>
      <c r="I207" s="37" t="s">
        <v>84</v>
      </c>
      <c r="J207" s="38" t="s">
        <v>8896</v>
      </c>
      <c r="K207" s="38"/>
      <c r="L207" s="39" t="s">
        <v>7621</v>
      </c>
      <c r="M207" s="39" t="s">
        <v>29</v>
      </c>
      <c r="N207" s="38" t="s">
        <v>8897</v>
      </c>
      <c r="O207" s="39"/>
      <c r="P207" s="39"/>
    </row>
    <row r="208" spans="1:17" ht="13.2" customHeight="1" x14ac:dyDescent="0.25">
      <c r="A208" s="37">
        <v>206</v>
      </c>
      <c r="B208" s="38" t="s">
        <v>8898</v>
      </c>
      <c r="C208" s="38"/>
      <c r="D208" s="38" t="s">
        <v>8899</v>
      </c>
      <c r="E208" s="38" t="s">
        <v>8900</v>
      </c>
      <c r="F208" s="38" t="s">
        <v>8901</v>
      </c>
      <c r="G208" s="38" t="s">
        <v>8902</v>
      </c>
      <c r="H208" s="38" t="s">
        <v>8903</v>
      </c>
      <c r="I208" s="37" t="s">
        <v>84</v>
      </c>
      <c r="J208" s="38" t="s">
        <v>8904</v>
      </c>
      <c r="K208" s="38"/>
      <c r="L208" s="39" t="s">
        <v>7621</v>
      </c>
      <c r="M208" s="39" t="s">
        <v>29</v>
      </c>
      <c r="N208" s="38" t="s">
        <v>8905</v>
      </c>
      <c r="O208" s="39"/>
      <c r="P208" s="39"/>
    </row>
    <row r="209" spans="1:16" ht="13.2" customHeight="1" x14ac:dyDescent="0.25">
      <c r="A209" s="37">
        <v>207</v>
      </c>
      <c r="B209" s="38" t="s">
        <v>8906</v>
      </c>
      <c r="C209" s="38"/>
      <c r="D209" s="38" t="s">
        <v>8907</v>
      </c>
      <c r="E209" s="38" t="s">
        <v>8908</v>
      </c>
      <c r="F209" s="38" t="s">
        <v>8909</v>
      </c>
      <c r="G209" s="38" t="s">
        <v>8910</v>
      </c>
      <c r="H209" s="38" t="s">
        <v>8911</v>
      </c>
      <c r="I209" s="37" t="s">
        <v>84</v>
      </c>
      <c r="J209" s="38" t="s">
        <v>8912</v>
      </c>
      <c r="K209" s="38"/>
      <c r="L209" s="39" t="s">
        <v>7621</v>
      </c>
      <c r="M209" s="39" t="s">
        <v>29</v>
      </c>
      <c r="N209" s="38" t="s">
        <v>2228</v>
      </c>
      <c r="O209" s="39"/>
      <c r="P209" s="39"/>
    </row>
    <row r="210" spans="1:16" ht="13.2" customHeight="1" x14ac:dyDescent="0.25">
      <c r="A210" s="37">
        <v>208</v>
      </c>
      <c r="B210" s="38" t="s">
        <v>8913</v>
      </c>
      <c r="C210" s="38"/>
      <c r="D210" s="38" t="s">
        <v>8914</v>
      </c>
      <c r="E210" s="38" t="s">
        <v>8915</v>
      </c>
      <c r="F210" s="38" t="s">
        <v>8916</v>
      </c>
      <c r="G210" s="38" t="s">
        <v>8917</v>
      </c>
      <c r="H210" s="38" t="s">
        <v>8918</v>
      </c>
      <c r="I210" s="37" t="s">
        <v>84</v>
      </c>
      <c r="J210" s="38" t="s">
        <v>8919</v>
      </c>
      <c r="K210" s="38"/>
      <c r="L210" s="39" t="s">
        <v>7621</v>
      </c>
      <c r="M210" s="39" t="s">
        <v>29</v>
      </c>
      <c r="N210" s="38" t="s">
        <v>8920</v>
      </c>
      <c r="O210" s="39"/>
      <c r="P210" s="39"/>
    </row>
    <row r="211" spans="1:16" ht="13.2" customHeight="1" x14ac:dyDescent="0.25">
      <c r="A211" s="37">
        <v>209</v>
      </c>
      <c r="B211" s="38" t="s">
        <v>8921</v>
      </c>
      <c r="C211" s="38"/>
      <c r="D211" s="38" t="s">
        <v>8922</v>
      </c>
      <c r="E211" s="38" t="s">
        <v>8923</v>
      </c>
      <c r="F211" s="38" t="s">
        <v>8924</v>
      </c>
      <c r="G211" s="38" t="s">
        <v>8925</v>
      </c>
      <c r="H211" s="38" t="s">
        <v>8926</v>
      </c>
      <c r="I211" s="37" t="s">
        <v>84</v>
      </c>
      <c r="J211" s="38" t="s">
        <v>8927</v>
      </c>
      <c r="K211" s="38"/>
      <c r="L211" s="39" t="s">
        <v>7671</v>
      </c>
      <c r="M211" s="39" t="s">
        <v>29</v>
      </c>
      <c r="N211" s="38" t="s">
        <v>8928</v>
      </c>
      <c r="O211" s="39"/>
      <c r="P211" s="39"/>
    </row>
    <row r="212" spans="1:16" ht="13.2" customHeight="1" x14ac:dyDescent="0.25">
      <c r="A212" s="37">
        <v>210</v>
      </c>
      <c r="B212" s="38" t="s">
        <v>8929</v>
      </c>
      <c r="C212" s="38"/>
      <c r="D212" s="38" t="s">
        <v>8930</v>
      </c>
      <c r="E212" s="38" t="s">
        <v>8849</v>
      </c>
      <c r="F212" s="38" t="s">
        <v>8931</v>
      </c>
      <c r="G212" s="38" t="s">
        <v>8932</v>
      </c>
      <c r="H212" s="38" t="s">
        <v>8933</v>
      </c>
      <c r="I212" s="37" t="s">
        <v>84</v>
      </c>
      <c r="J212" s="38" t="s">
        <v>8934</v>
      </c>
      <c r="K212" s="38"/>
      <c r="L212" s="39" t="s">
        <v>7621</v>
      </c>
      <c r="M212" s="39" t="s">
        <v>29</v>
      </c>
      <c r="N212" s="38" t="s">
        <v>8935</v>
      </c>
      <c r="O212" s="39"/>
      <c r="P212" s="39"/>
    </row>
    <row r="213" spans="1:16" ht="13.2" customHeight="1" x14ac:dyDescent="0.25">
      <c r="A213" s="37">
        <v>211</v>
      </c>
      <c r="B213" s="38" t="s">
        <v>8936</v>
      </c>
      <c r="C213" s="38"/>
      <c r="D213" s="38" t="s">
        <v>6620</v>
      </c>
      <c r="E213" s="38" t="s">
        <v>4756</v>
      </c>
      <c r="F213" s="38" t="s">
        <v>796</v>
      </c>
      <c r="G213" s="38" t="s">
        <v>8698</v>
      </c>
      <c r="H213" s="38" t="s">
        <v>8937</v>
      </c>
      <c r="I213" s="37" t="s">
        <v>84</v>
      </c>
      <c r="J213" s="38" t="s">
        <v>8938</v>
      </c>
      <c r="K213" s="38"/>
      <c r="L213" s="39" t="s">
        <v>7671</v>
      </c>
      <c r="M213" s="39" t="s">
        <v>29</v>
      </c>
      <c r="N213" s="38" t="s">
        <v>8939</v>
      </c>
      <c r="O213" s="39"/>
      <c r="P213" s="39"/>
    </row>
    <row r="214" spans="1:16" ht="13.2" customHeight="1" x14ac:dyDescent="0.25">
      <c r="A214" s="37">
        <v>212</v>
      </c>
      <c r="B214" s="38" t="s">
        <v>8940</v>
      </c>
      <c r="C214" s="38"/>
      <c r="D214" s="38" t="s">
        <v>8941</v>
      </c>
      <c r="E214" s="38" t="s">
        <v>8942</v>
      </c>
      <c r="F214" s="38" t="s">
        <v>8943</v>
      </c>
      <c r="G214" s="38" t="s">
        <v>8432</v>
      </c>
      <c r="H214" s="38" t="s">
        <v>8944</v>
      </c>
      <c r="I214" s="37" t="s">
        <v>84</v>
      </c>
      <c r="J214" s="38" t="s">
        <v>8945</v>
      </c>
      <c r="K214" s="38"/>
      <c r="L214" s="39" t="s">
        <v>8225</v>
      </c>
      <c r="M214" s="39" t="s">
        <v>29</v>
      </c>
      <c r="N214" s="38" t="s">
        <v>8946</v>
      </c>
      <c r="O214" s="39"/>
      <c r="P214" s="39"/>
    </row>
    <row r="215" spans="1:16" ht="13.2" customHeight="1" x14ac:dyDescent="0.25">
      <c r="A215" s="37">
        <v>213</v>
      </c>
      <c r="B215" s="38" t="s">
        <v>8947</v>
      </c>
      <c r="C215" s="38"/>
      <c r="D215" s="38" t="s">
        <v>4044</v>
      </c>
      <c r="E215" s="38" t="s">
        <v>8948</v>
      </c>
      <c r="F215" s="38" t="s">
        <v>8949</v>
      </c>
      <c r="G215" s="38" t="s">
        <v>8950</v>
      </c>
      <c r="H215" s="38" t="s">
        <v>4016</v>
      </c>
      <c r="I215" s="37" t="s">
        <v>84</v>
      </c>
      <c r="J215" s="38" t="s">
        <v>8951</v>
      </c>
      <c r="K215" s="38"/>
      <c r="L215" s="39" t="s">
        <v>7630</v>
      </c>
      <c r="M215" s="39" t="s">
        <v>29</v>
      </c>
      <c r="N215" s="38" t="s">
        <v>8952</v>
      </c>
      <c r="O215" s="39"/>
      <c r="P215" s="39"/>
    </row>
    <row r="216" spans="1:16" ht="13.2" customHeight="1" x14ac:dyDescent="0.25">
      <c r="A216" s="37">
        <v>214</v>
      </c>
      <c r="B216" s="38" t="s">
        <v>8953</v>
      </c>
      <c r="C216" s="38"/>
      <c r="D216" s="38" t="s">
        <v>8954</v>
      </c>
      <c r="E216" s="38" t="s">
        <v>8955</v>
      </c>
      <c r="F216" s="38" t="s">
        <v>8956</v>
      </c>
      <c r="G216" s="38" t="s">
        <v>8957</v>
      </c>
      <c r="H216" s="38" t="s">
        <v>3219</v>
      </c>
      <c r="I216" s="37" t="s">
        <v>84</v>
      </c>
      <c r="J216" s="38" t="s">
        <v>8958</v>
      </c>
      <c r="K216" s="38"/>
      <c r="L216" s="39" t="s">
        <v>7621</v>
      </c>
      <c r="M216" s="39" t="s">
        <v>29</v>
      </c>
      <c r="N216" s="38" t="s">
        <v>8959</v>
      </c>
      <c r="O216" s="39"/>
      <c r="P216" s="39"/>
    </row>
    <row r="217" spans="1:16" ht="13.2" customHeight="1" x14ac:dyDescent="0.25">
      <c r="A217" s="37">
        <v>215</v>
      </c>
      <c r="B217" s="38" t="s">
        <v>8960</v>
      </c>
      <c r="C217" s="38"/>
      <c r="D217" s="38" t="s">
        <v>8961</v>
      </c>
      <c r="E217" s="38" t="s">
        <v>8962</v>
      </c>
      <c r="F217" s="38" t="s">
        <v>8963</v>
      </c>
      <c r="G217" s="38" t="s">
        <v>8964</v>
      </c>
      <c r="H217" s="38" t="s">
        <v>3181</v>
      </c>
      <c r="I217" s="37" t="s">
        <v>84</v>
      </c>
      <c r="J217" s="38" t="s">
        <v>8965</v>
      </c>
      <c r="K217" s="38"/>
      <c r="L217" s="39" t="s">
        <v>7621</v>
      </c>
      <c r="M217" s="39" t="s">
        <v>29</v>
      </c>
      <c r="N217" s="38" t="s">
        <v>8966</v>
      </c>
      <c r="O217" s="39"/>
      <c r="P217" s="39"/>
    </row>
    <row r="218" spans="1:16" ht="13.2" customHeight="1" x14ac:dyDescent="0.25">
      <c r="A218" s="37">
        <v>216</v>
      </c>
      <c r="B218" s="38" t="s">
        <v>8967</v>
      </c>
      <c r="C218" s="38"/>
      <c r="D218" s="38" t="s">
        <v>8968</v>
      </c>
      <c r="E218" s="38" t="s">
        <v>8969</v>
      </c>
      <c r="F218" s="38" t="s">
        <v>8970</v>
      </c>
      <c r="G218" s="38" t="s">
        <v>8971</v>
      </c>
      <c r="H218" s="38" t="s">
        <v>8972</v>
      </c>
      <c r="I218" s="37" t="s">
        <v>84</v>
      </c>
      <c r="J218" s="38" t="s">
        <v>8973</v>
      </c>
      <c r="K218" s="38"/>
      <c r="L218" s="39" t="s">
        <v>7621</v>
      </c>
      <c r="M218" s="39" t="s">
        <v>29</v>
      </c>
      <c r="N218" s="38" t="s">
        <v>8974</v>
      </c>
      <c r="O218" s="39"/>
      <c r="P218" s="39"/>
    </row>
    <row r="219" spans="1:16" ht="13.2" customHeight="1" x14ac:dyDescent="0.25">
      <c r="A219" s="37">
        <v>217</v>
      </c>
      <c r="B219" s="38" t="s">
        <v>8975</v>
      </c>
      <c r="C219" s="38"/>
      <c r="D219" s="38" t="s">
        <v>8976</v>
      </c>
      <c r="E219" s="38" t="s">
        <v>8977</v>
      </c>
      <c r="F219" s="38" t="s">
        <v>5573</v>
      </c>
      <c r="G219" s="38" t="s">
        <v>8978</v>
      </c>
      <c r="H219" s="38" t="s">
        <v>8979</v>
      </c>
      <c r="I219" s="37" t="s">
        <v>84</v>
      </c>
      <c r="J219" s="38" t="s">
        <v>8980</v>
      </c>
      <c r="K219" s="38"/>
      <c r="L219" s="39" t="s">
        <v>7621</v>
      </c>
      <c r="M219" s="39" t="s">
        <v>29</v>
      </c>
      <c r="N219" s="38" t="s">
        <v>8981</v>
      </c>
      <c r="O219" s="39"/>
      <c r="P219" s="39"/>
    </row>
    <row r="220" spans="1:16" ht="13.2" customHeight="1" x14ac:dyDescent="0.25">
      <c r="A220" s="37">
        <v>218</v>
      </c>
      <c r="B220" s="38" t="s">
        <v>8982</v>
      </c>
      <c r="C220" s="38"/>
      <c r="D220" s="38" t="s">
        <v>8983</v>
      </c>
      <c r="E220" s="38" t="s">
        <v>8984</v>
      </c>
      <c r="F220" s="38" t="s">
        <v>8985</v>
      </c>
      <c r="G220" s="38" t="s">
        <v>8986</v>
      </c>
      <c r="H220" s="38" t="s">
        <v>8987</v>
      </c>
      <c r="I220" s="37" t="s">
        <v>84</v>
      </c>
      <c r="J220" s="38" t="s">
        <v>8988</v>
      </c>
      <c r="K220" s="38"/>
      <c r="L220" s="39" t="s">
        <v>7621</v>
      </c>
      <c r="M220" s="39" t="s">
        <v>29</v>
      </c>
      <c r="N220" s="38" t="s">
        <v>8989</v>
      </c>
      <c r="O220" s="39"/>
      <c r="P220" s="39"/>
    </row>
    <row r="221" spans="1:16" ht="13.2" customHeight="1" x14ac:dyDescent="0.25">
      <c r="A221" s="37">
        <v>219</v>
      </c>
      <c r="B221" s="38" t="s">
        <v>8990</v>
      </c>
      <c r="C221" s="38"/>
      <c r="D221" s="38" t="s">
        <v>8991</v>
      </c>
      <c r="E221" s="38" t="s">
        <v>8992</v>
      </c>
      <c r="F221" s="38" t="s">
        <v>8993</v>
      </c>
      <c r="G221" s="38" t="s">
        <v>8994</v>
      </c>
      <c r="H221" s="38" t="s">
        <v>8995</v>
      </c>
      <c r="I221" s="37" t="s">
        <v>84</v>
      </c>
      <c r="J221" s="38" t="s">
        <v>8996</v>
      </c>
      <c r="K221" s="38"/>
      <c r="L221" s="39" t="s">
        <v>7621</v>
      </c>
      <c r="M221" s="39" t="s">
        <v>29</v>
      </c>
      <c r="N221" s="38" t="s">
        <v>8997</v>
      </c>
      <c r="O221" s="39"/>
      <c r="P221" s="39"/>
    </row>
    <row r="222" spans="1:16" ht="13.2" customHeight="1" x14ac:dyDescent="0.25">
      <c r="A222" s="37">
        <v>220</v>
      </c>
      <c r="B222" s="38" t="s">
        <v>8998</v>
      </c>
      <c r="C222" s="38"/>
      <c r="D222" s="38" t="s">
        <v>8999</v>
      </c>
      <c r="E222" s="38" t="s">
        <v>9000</v>
      </c>
      <c r="F222" s="38" t="s">
        <v>9001</v>
      </c>
      <c r="G222" s="38" t="s">
        <v>9002</v>
      </c>
      <c r="H222" s="38" t="s">
        <v>9003</v>
      </c>
      <c r="I222" s="37" t="s">
        <v>84</v>
      </c>
      <c r="J222" s="38" t="s">
        <v>9004</v>
      </c>
      <c r="K222" s="38"/>
      <c r="L222" s="39" t="s">
        <v>7621</v>
      </c>
      <c r="M222" s="39" t="s">
        <v>29</v>
      </c>
      <c r="N222" s="38" t="s">
        <v>9005</v>
      </c>
      <c r="O222" s="39"/>
      <c r="P222" s="39"/>
    </row>
    <row r="223" spans="1:16" ht="13.2" customHeight="1" x14ac:dyDescent="0.25">
      <c r="A223" s="37">
        <v>221</v>
      </c>
      <c r="B223" s="38" t="s">
        <v>9006</v>
      </c>
      <c r="C223" s="38"/>
      <c r="D223" s="38" t="s">
        <v>8476</v>
      </c>
      <c r="E223" s="38" t="s">
        <v>8477</v>
      </c>
      <c r="F223" s="38" t="s">
        <v>8177</v>
      </c>
      <c r="G223" s="38" t="s">
        <v>8478</v>
      </c>
      <c r="H223" s="38" t="s">
        <v>8479</v>
      </c>
      <c r="I223" s="37" t="s">
        <v>84</v>
      </c>
      <c r="J223" s="38" t="s">
        <v>9007</v>
      </c>
      <c r="K223" s="38"/>
      <c r="L223" s="39" t="s">
        <v>516</v>
      </c>
      <c r="M223" s="39" t="s">
        <v>29</v>
      </c>
      <c r="N223" s="38" t="s">
        <v>9008</v>
      </c>
      <c r="O223" s="39"/>
      <c r="P223" s="39"/>
    </row>
    <row r="224" spans="1:16" ht="13.2" customHeight="1" x14ac:dyDescent="0.25">
      <c r="A224" s="37">
        <v>222</v>
      </c>
      <c r="B224" s="38" t="s">
        <v>9009</v>
      </c>
      <c r="C224" s="38"/>
      <c r="D224" s="38" t="s">
        <v>8478</v>
      </c>
      <c r="E224" s="38" t="s">
        <v>8479</v>
      </c>
      <c r="F224" s="38" t="s">
        <v>119</v>
      </c>
      <c r="G224" s="38" t="s">
        <v>8688</v>
      </c>
      <c r="H224" s="38" t="s">
        <v>8689</v>
      </c>
      <c r="I224" s="37" t="s">
        <v>84</v>
      </c>
      <c r="J224" s="38" t="s">
        <v>9010</v>
      </c>
      <c r="K224" s="38"/>
      <c r="L224" s="39" t="s">
        <v>7630</v>
      </c>
      <c r="M224" s="39" t="s">
        <v>29</v>
      </c>
      <c r="N224" s="38" t="s">
        <v>9008</v>
      </c>
      <c r="O224" s="39"/>
      <c r="P224" s="39"/>
    </row>
    <row r="225" spans="1:16" ht="13.2" customHeight="1" x14ac:dyDescent="0.25">
      <c r="A225" s="37">
        <v>223</v>
      </c>
      <c r="B225" s="38" t="s">
        <v>9011</v>
      </c>
      <c r="C225" s="38"/>
      <c r="D225" s="38" t="s">
        <v>8688</v>
      </c>
      <c r="E225" s="38" t="s">
        <v>8689</v>
      </c>
      <c r="F225" s="38" t="s">
        <v>8690</v>
      </c>
      <c r="G225" s="38" t="s">
        <v>8691</v>
      </c>
      <c r="H225" s="38" t="s">
        <v>8718</v>
      </c>
      <c r="I225" s="37" t="s">
        <v>84</v>
      </c>
      <c r="J225" s="38" t="s">
        <v>9012</v>
      </c>
      <c r="K225" s="38"/>
      <c r="L225" s="39" t="s">
        <v>7630</v>
      </c>
      <c r="M225" s="39" t="s">
        <v>29</v>
      </c>
      <c r="N225" s="38" t="s">
        <v>9013</v>
      </c>
      <c r="O225" s="39"/>
      <c r="P225" s="39"/>
    </row>
    <row r="226" spans="1:16" ht="13.2" customHeight="1" x14ac:dyDescent="0.25">
      <c r="A226" s="37">
        <v>224</v>
      </c>
      <c r="B226" s="38" t="s">
        <v>9014</v>
      </c>
      <c r="C226" s="38"/>
      <c r="D226" s="38" t="s">
        <v>8691</v>
      </c>
      <c r="E226" s="38" t="s">
        <v>8718</v>
      </c>
      <c r="F226" s="38" t="s">
        <v>8719</v>
      </c>
      <c r="G226" s="38" t="s">
        <v>8703</v>
      </c>
      <c r="H226" s="38" t="s">
        <v>8476</v>
      </c>
      <c r="I226" s="37" t="s">
        <v>84</v>
      </c>
      <c r="J226" s="38" t="s">
        <v>9015</v>
      </c>
      <c r="K226" s="38"/>
      <c r="L226" s="39" t="s">
        <v>516</v>
      </c>
      <c r="M226" s="39" t="s">
        <v>29</v>
      </c>
      <c r="N226" s="38" t="s">
        <v>2483</v>
      </c>
      <c r="O226" s="39"/>
      <c r="P226" s="39"/>
    </row>
    <row r="227" spans="1:16" ht="13.2" customHeight="1" x14ac:dyDescent="0.25">
      <c r="A227" s="37">
        <v>225</v>
      </c>
      <c r="B227" s="38" t="s">
        <v>9016</v>
      </c>
      <c r="C227" s="38"/>
      <c r="D227" s="38" t="s">
        <v>8703</v>
      </c>
      <c r="E227" s="38" t="s">
        <v>8476</v>
      </c>
      <c r="F227" s="38" t="s">
        <v>8477</v>
      </c>
      <c r="G227" s="38" t="s">
        <v>8177</v>
      </c>
      <c r="H227" s="38" t="s">
        <v>8478</v>
      </c>
      <c r="I227" s="37" t="s">
        <v>84</v>
      </c>
      <c r="J227" s="38" t="s">
        <v>9017</v>
      </c>
      <c r="K227" s="38"/>
      <c r="L227" s="39" t="s">
        <v>7621</v>
      </c>
      <c r="M227" s="39" t="s">
        <v>29</v>
      </c>
      <c r="N227" s="38" t="s">
        <v>4983</v>
      </c>
      <c r="O227" s="39"/>
      <c r="P227" s="39"/>
    </row>
    <row r="228" spans="1:16" ht="13.2" customHeight="1" x14ac:dyDescent="0.25">
      <c r="A228" s="37">
        <v>226</v>
      </c>
      <c r="B228" s="38" t="s">
        <v>9018</v>
      </c>
      <c r="C228" s="38"/>
      <c r="D228" s="38" t="s">
        <v>8177</v>
      </c>
      <c r="E228" s="38" t="s">
        <v>8478</v>
      </c>
      <c r="F228" s="38" t="s">
        <v>8479</v>
      </c>
      <c r="G228" s="38" t="s">
        <v>119</v>
      </c>
      <c r="H228" s="38" t="s">
        <v>8688</v>
      </c>
      <c r="I228" s="37" t="s">
        <v>84</v>
      </c>
      <c r="J228" s="38" t="s">
        <v>9019</v>
      </c>
      <c r="K228" s="38"/>
      <c r="L228" s="39" t="s">
        <v>7621</v>
      </c>
      <c r="M228" s="39" t="s">
        <v>29</v>
      </c>
      <c r="N228" s="38" t="s">
        <v>9020</v>
      </c>
      <c r="O228" s="39"/>
      <c r="P228" s="39"/>
    </row>
    <row r="229" spans="1:16" ht="13.2" customHeight="1" x14ac:dyDescent="0.25">
      <c r="A229" s="37">
        <v>227</v>
      </c>
      <c r="B229" s="38" t="s">
        <v>9021</v>
      </c>
      <c r="C229" s="38"/>
      <c r="D229" s="38" t="s">
        <v>119</v>
      </c>
      <c r="E229" s="38" t="s">
        <v>8688</v>
      </c>
      <c r="F229" s="38" t="s">
        <v>8689</v>
      </c>
      <c r="G229" s="38" t="s">
        <v>8690</v>
      </c>
      <c r="H229" s="38" t="s">
        <v>8691</v>
      </c>
      <c r="I229" s="37" t="s">
        <v>84</v>
      </c>
      <c r="J229" s="38" t="s">
        <v>9022</v>
      </c>
      <c r="K229" s="38"/>
      <c r="L229" s="39" t="s">
        <v>7621</v>
      </c>
      <c r="M229" s="39" t="s">
        <v>29</v>
      </c>
      <c r="N229" s="38" t="s">
        <v>7452</v>
      </c>
      <c r="O229" s="39"/>
      <c r="P229" s="39"/>
    </row>
    <row r="230" spans="1:16" ht="13.2" customHeight="1" x14ac:dyDescent="0.25">
      <c r="A230" s="37">
        <v>228</v>
      </c>
      <c r="B230" s="38" t="s">
        <v>9023</v>
      </c>
      <c r="C230" s="38"/>
      <c r="D230" s="38" t="s">
        <v>8690</v>
      </c>
      <c r="E230" s="38" t="s">
        <v>8691</v>
      </c>
      <c r="F230" s="38" t="s">
        <v>8718</v>
      </c>
      <c r="G230" s="38" t="s">
        <v>8719</v>
      </c>
      <c r="H230" s="38" t="s">
        <v>8703</v>
      </c>
      <c r="I230" s="37" t="s">
        <v>84</v>
      </c>
      <c r="J230" s="38" t="s">
        <v>9024</v>
      </c>
      <c r="K230" s="38"/>
      <c r="L230" s="39" t="s">
        <v>516</v>
      </c>
      <c r="M230" s="39" t="s">
        <v>29</v>
      </c>
      <c r="N230" s="38" t="s">
        <v>6873</v>
      </c>
      <c r="O230" s="39"/>
      <c r="P230" s="39"/>
    </row>
    <row r="231" spans="1:16" ht="13.2" customHeight="1" x14ac:dyDescent="0.25">
      <c r="A231" s="37">
        <v>229</v>
      </c>
      <c r="B231" s="38" t="s">
        <v>9025</v>
      </c>
      <c r="C231" s="38"/>
      <c r="D231" s="38" t="s">
        <v>8719</v>
      </c>
      <c r="E231" s="38" t="s">
        <v>8703</v>
      </c>
      <c r="F231" s="38" t="s">
        <v>8476</v>
      </c>
      <c r="G231" s="38" t="s">
        <v>8477</v>
      </c>
      <c r="H231" s="38" t="s">
        <v>8177</v>
      </c>
      <c r="I231" s="37" t="s">
        <v>84</v>
      </c>
      <c r="J231" s="38" t="s">
        <v>9026</v>
      </c>
      <c r="K231" s="38"/>
      <c r="L231" s="39" t="s">
        <v>7630</v>
      </c>
      <c r="M231" s="39" t="s">
        <v>29</v>
      </c>
      <c r="N231" s="38" t="s">
        <v>3595</v>
      </c>
      <c r="O231" s="39"/>
      <c r="P231" s="39"/>
    </row>
    <row r="232" spans="1:16" ht="13.2" customHeight="1" x14ac:dyDescent="0.25">
      <c r="A232" s="37">
        <v>230</v>
      </c>
      <c r="B232" s="38" t="s">
        <v>9027</v>
      </c>
      <c r="C232" s="38"/>
      <c r="D232" s="38" t="s">
        <v>8477</v>
      </c>
      <c r="E232" s="38" t="s">
        <v>8177</v>
      </c>
      <c r="F232" s="38" t="s">
        <v>8478</v>
      </c>
      <c r="G232" s="38" t="s">
        <v>8479</v>
      </c>
      <c r="H232" s="38" t="s">
        <v>119</v>
      </c>
      <c r="I232" s="37" t="s">
        <v>84</v>
      </c>
      <c r="J232" s="38" t="s">
        <v>9028</v>
      </c>
      <c r="K232" s="38"/>
      <c r="L232" s="39" t="s">
        <v>7671</v>
      </c>
      <c r="M232" s="39" t="s">
        <v>29</v>
      </c>
      <c r="N232" s="38" t="s">
        <v>3603</v>
      </c>
      <c r="O232" s="39"/>
      <c r="P232" s="39"/>
    </row>
    <row r="233" spans="1:16" ht="13.2" customHeight="1" x14ac:dyDescent="0.25">
      <c r="A233" s="37">
        <v>231</v>
      </c>
      <c r="B233" s="38" t="s">
        <v>9029</v>
      </c>
      <c r="C233" s="38"/>
      <c r="D233" s="38" t="s">
        <v>8479</v>
      </c>
      <c r="E233" s="38" t="s">
        <v>119</v>
      </c>
      <c r="F233" s="38" t="s">
        <v>8688</v>
      </c>
      <c r="G233" s="38" t="s">
        <v>8689</v>
      </c>
      <c r="H233" s="38" t="s">
        <v>8690</v>
      </c>
      <c r="I233" s="37" t="s">
        <v>84</v>
      </c>
      <c r="J233" s="38" t="s">
        <v>9030</v>
      </c>
      <c r="K233" s="38"/>
      <c r="L233" s="39" t="s">
        <v>7621</v>
      </c>
      <c r="M233" s="39" t="s">
        <v>29</v>
      </c>
      <c r="N233" s="38" t="s">
        <v>9020</v>
      </c>
      <c r="O233" s="39"/>
      <c r="P233" s="39"/>
    </row>
    <row r="234" spans="1:16" ht="13.2" customHeight="1" x14ac:dyDescent="0.25">
      <c r="A234" s="37">
        <v>232</v>
      </c>
      <c r="B234" s="38" t="s">
        <v>9031</v>
      </c>
      <c r="C234" s="38"/>
      <c r="D234" s="38" t="s">
        <v>8718</v>
      </c>
      <c r="E234" s="38" t="s">
        <v>8719</v>
      </c>
      <c r="F234" s="38" t="s">
        <v>8703</v>
      </c>
      <c r="G234" s="38" t="s">
        <v>8476</v>
      </c>
      <c r="H234" s="38" t="s">
        <v>8477</v>
      </c>
      <c r="I234" s="37" t="s">
        <v>84</v>
      </c>
      <c r="J234" s="38" t="s">
        <v>9032</v>
      </c>
      <c r="K234" s="38"/>
      <c r="L234" s="39" t="s">
        <v>7621</v>
      </c>
      <c r="M234" s="39" t="s">
        <v>29</v>
      </c>
      <c r="N234" s="38" t="s">
        <v>9020</v>
      </c>
      <c r="O234" s="39"/>
      <c r="P234" s="39"/>
    </row>
    <row r="235" spans="1:16" ht="13.2" customHeight="1" x14ac:dyDescent="0.25">
      <c r="A235" s="37">
        <v>233</v>
      </c>
      <c r="B235" s="38" t="s">
        <v>9033</v>
      </c>
      <c r="C235" s="38"/>
      <c r="D235" s="38" t="s">
        <v>9034</v>
      </c>
      <c r="E235" s="38" t="s">
        <v>8477</v>
      </c>
      <c r="F235" s="38" t="s">
        <v>8177</v>
      </c>
      <c r="G235" s="38" t="s">
        <v>8478</v>
      </c>
      <c r="H235" s="38" t="s">
        <v>8479</v>
      </c>
      <c r="I235" s="37" t="s">
        <v>84</v>
      </c>
      <c r="J235" s="38" t="s">
        <v>9035</v>
      </c>
      <c r="K235" s="38"/>
      <c r="L235" s="39" t="s">
        <v>516</v>
      </c>
      <c r="M235" s="39" t="s">
        <v>29</v>
      </c>
      <c r="N235" s="38" t="s">
        <v>9020</v>
      </c>
      <c r="O235" s="39"/>
      <c r="P235" s="39"/>
    </row>
    <row r="236" spans="1:16" ht="13.2" customHeight="1" x14ac:dyDescent="0.25">
      <c r="A236" s="37">
        <v>234</v>
      </c>
      <c r="B236" s="38" t="s">
        <v>9036</v>
      </c>
      <c r="C236" s="38"/>
      <c r="D236" s="38" t="s">
        <v>8478</v>
      </c>
      <c r="E236" s="38" t="s">
        <v>8479</v>
      </c>
      <c r="F236" s="38" t="s">
        <v>119</v>
      </c>
      <c r="G236" s="38" t="s">
        <v>8688</v>
      </c>
      <c r="H236" s="38" t="s">
        <v>8689</v>
      </c>
      <c r="I236" s="37" t="s">
        <v>84</v>
      </c>
      <c r="J236" s="38" t="s">
        <v>9037</v>
      </c>
      <c r="K236" s="38"/>
      <c r="L236" s="39" t="s">
        <v>516</v>
      </c>
      <c r="M236" s="39" t="s">
        <v>29</v>
      </c>
      <c r="N236" s="38" t="s">
        <v>3603</v>
      </c>
      <c r="O236" s="39"/>
      <c r="P236" s="39"/>
    </row>
    <row r="237" spans="1:16" ht="13.2" customHeight="1" x14ac:dyDescent="0.25">
      <c r="A237" s="37">
        <v>235</v>
      </c>
      <c r="B237" s="38" t="s">
        <v>9038</v>
      </c>
      <c r="C237" s="38"/>
      <c r="D237" s="38" t="s">
        <v>8688</v>
      </c>
      <c r="E237" s="38" t="s">
        <v>8689</v>
      </c>
      <c r="F237" s="38" t="s">
        <v>8690</v>
      </c>
      <c r="G237" s="38" t="s">
        <v>8691</v>
      </c>
      <c r="H237" s="38" t="s">
        <v>8718</v>
      </c>
      <c r="I237" s="37" t="s">
        <v>84</v>
      </c>
      <c r="J237" s="38" t="s">
        <v>9039</v>
      </c>
      <c r="K237" s="38"/>
      <c r="L237" s="39" t="s">
        <v>7856</v>
      </c>
      <c r="M237" s="39" t="s">
        <v>29</v>
      </c>
      <c r="N237" s="38" t="s">
        <v>7452</v>
      </c>
      <c r="O237" s="39"/>
      <c r="P237" s="39"/>
    </row>
    <row r="238" spans="1:16" ht="13.2" customHeight="1" x14ac:dyDescent="0.25">
      <c r="A238" s="37">
        <v>236</v>
      </c>
      <c r="B238" s="38" t="s">
        <v>9040</v>
      </c>
      <c r="C238" s="38"/>
      <c r="D238" s="38" t="s">
        <v>8691</v>
      </c>
      <c r="E238" s="38" t="s">
        <v>8718</v>
      </c>
      <c r="F238" s="38" t="s">
        <v>8719</v>
      </c>
      <c r="G238" s="38" t="s">
        <v>8703</v>
      </c>
      <c r="H238" s="38" t="s">
        <v>8476</v>
      </c>
      <c r="I238" s="37" t="s">
        <v>84</v>
      </c>
      <c r="J238" s="38" t="s">
        <v>9041</v>
      </c>
      <c r="K238" s="38"/>
      <c r="L238" s="39" t="s">
        <v>7621</v>
      </c>
      <c r="M238" s="39" t="s">
        <v>29</v>
      </c>
      <c r="N238" s="38" t="s">
        <v>7452</v>
      </c>
      <c r="O238" s="39"/>
      <c r="P238" s="39"/>
    </row>
    <row r="239" spans="1:16" ht="13.2" customHeight="1" x14ac:dyDescent="0.25">
      <c r="A239" s="37">
        <v>237</v>
      </c>
      <c r="B239" s="38" t="s">
        <v>9042</v>
      </c>
      <c r="C239" s="38"/>
      <c r="D239" s="38" t="s">
        <v>8703</v>
      </c>
      <c r="E239" s="38" t="s">
        <v>8476</v>
      </c>
      <c r="F239" s="38" t="s">
        <v>8477</v>
      </c>
      <c r="G239" s="38" t="s">
        <v>8177</v>
      </c>
      <c r="H239" s="38" t="s">
        <v>8478</v>
      </c>
      <c r="I239" s="37" t="s">
        <v>84</v>
      </c>
      <c r="J239" s="38" t="s">
        <v>9043</v>
      </c>
      <c r="K239" s="38"/>
      <c r="L239" s="39" t="s">
        <v>7856</v>
      </c>
      <c r="M239" s="39" t="s">
        <v>29</v>
      </c>
      <c r="N239" s="38" t="s">
        <v>9020</v>
      </c>
      <c r="O239" s="39"/>
      <c r="P239" s="39"/>
    </row>
    <row r="240" spans="1:16" ht="13.2" customHeight="1" x14ac:dyDescent="0.25">
      <c r="A240" s="37">
        <v>238</v>
      </c>
      <c r="B240" s="38" t="s">
        <v>9044</v>
      </c>
      <c r="C240" s="38"/>
      <c r="D240" s="38" t="s">
        <v>8177</v>
      </c>
      <c r="E240" s="38" t="s">
        <v>8478</v>
      </c>
      <c r="F240" s="38" t="s">
        <v>8479</v>
      </c>
      <c r="G240" s="38" t="s">
        <v>119</v>
      </c>
      <c r="H240" s="38" t="s">
        <v>8688</v>
      </c>
      <c r="I240" s="37" t="s">
        <v>84</v>
      </c>
      <c r="J240" s="38" t="s">
        <v>9045</v>
      </c>
      <c r="K240" s="38"/>
      <c r="L240" s="39" t="s">
        <v>7856</v>
      </c>
      <c r="M240" s="39" t="s">
        <v>29</v>
      </c>
      <c r="N240" s="38" t="s">
        <v>7452</v>
      </c>
      <c r="O240" s="39"/>
      <c r="P240" s="39"/>
    </row>
    <row r="241" spans="1:16" ht="13.2" customHeight="1" x14ac:dyDescent="0.25">
      <c r="A241" s="37">
        <v>239</v>
      </c>
      <c r="B241" s="38" t="s">
        <v>9046</v>
      </c>
      <c r="C241" s="38"/>
      <c r="D241" s="38" t="s">
        <v>119</v>
      </c>
      <c r="E241" s="38" t="s">
        <v>8688</v>
      </c>
      <c r="F241" s="38" t="s">
        <v>8689</v>
      </c>
      <c r="G241" s="38" t="s">
        <v>8690</v>
      </c>
      <c r="H241" s="38" t="s">
        <v>8691</v>
      </c>
      <c r="I241" s="37" t="s">
        <v>84</v>
      </c>
      <c r="J241" s="38" t="s">
        <v>9047</v>
      </c>
      <c r="K241" s="38"/>
      <c r="L241" s="39" t="s">
        <v>7621</v>
      </c>
      <c r="M241" s="39" t="s">
        <v>29</v>
      </c>
      <c r="N241" s="38" t="s">
        <v>3595</v>
      </c>
      <c r="O241" s="39"/>
      <c r="P241" s="39"/>
    </row>
    <row r="242" spans="1:16" ht="13.2" customHeight="1" x14ac:dyDescent="0.25">
      <c r="A242" s="37">
        <v>240</v>
      </c>
      <c r="B242" s="38" t="s">
        <v>9048</v>
      </c>
      <c r="C242" s="38"/>
      <c r="D242" s="38" t="s">
        <v>9049</v>
      </c>
      <c r="E242" s="38" t="s">
        <v>9050</v>
      </c>
      <c r="F242" s="38" t="s">
        <v>9051</v>
      </c>
      <c r="G242" s="38" t="s">
        <v>9052</v>
      </c>
      <c r="H242" s="38" t="s">
        <v>9053</v>
      </c>
      <c r="I242" s="37" t="s">
        <v>84</v>
      </c>
      <c r="J242" s="38" t="s">
        <v>9054</v>
      </c>
      <c r="K242" s="38"/>
      <c r="L242" s="39" t="s">
        <v>7621</v>
      </c>
      <c r="M242" s="39" t="s">
        <v>29</v>
      </c>
      <c r="N242" s="38" t="s">
        <v>9055</v>
      </c>
      <c r="O242" s="39"/>
      <c r="P242" s="39"/>
    </row>
    <row r="243" spans="1:16" ht="13.2" customHeight="1" x14ac:dyDescent="0.25">
      <c r="A243" s="37">
        <v>241</v>
      </c>
      <c r="B243" s="38" t="s">
        <v>9056</v>
      </c>
      <c r="C243" s="38"/>
      <c r="D243" s="38" t="s">
        <v>9057</v>
      </c>
      <c r="E243" s="38" t="s">
        <v>9058</v>
      </c>
      <c r="F243" s="38" t="s">
        <v>6620</v>
      </c>
      <c r="G243" s="38" t="s">
        <v>9059</v>
      </c>
      <c r="H243" s="38" t="s">
        <v>8177</v>
      </c>
      <c r="I243" s="37" t="s">
        <v>90</v>
      </c>
      <c r="J243" s="38" t="s">
        <v>9060</v>
      </c>
      <c r="K243" s="38"/>
      <c r="L243" s="39" t="s">
        <v>7621</v>
      </c>
      <c r="M243" s="39" t="s">
        <v>29</v>
      </c>
      <c r="N243" s="38" t="s">
        <v>6881</v>
      </c>
      <c r="O243" s="39"/>
      <c r="P243" s="39"/>
    </row>
    <row r="244" spans="1:16" ht="13.2" customHeight="1" x14ac:dyDescent="0.25">
      <c r="A244" s="37">
        <v>242</v>
      </c>
      <c r="B244" s="38" t="s">
        <v>9061</v>
      </c>
      <c r="C244" s="38"/>
      <c r="D244" s="38" t="s">
        <v>8477</v>
      </c>
      <c r="E244" s="38" t="s">
        <v>8177</v>
      </c>
      <c r="F244" s="38" t="s">
        <v>8478</v>
      </c>
      <c r="G244" s="38" t="s">
        <v>8479</v>
      </c>
      <c r="H244" s="38" t="s">
        <v>119</v>
      </c>
      <c r="I244" s="37" t="s">
        <v>84</v>
      </c>
      <c r="J244" s="38" t="s">
        <v>9062</v>
      </c>
      <c r="K244" s="38"/>
      <c r="L244" s="39" t="s">
        <v>516</v>
      </c>
      <c r="M244" s="39" t="s">
        <v>29</v>
      </c>
      <c r="N244" s="38" t="s">
        <v>3606</v>
      </c>
      <c r="O244" s="39"/>
      <c r="P244" s="39"/>
    </row>
    <row r="245" spans="1:16" ht="13.2" customHeight="1" x14ac:dyDescent="0.25">
      <c r="A245" s="37">
        <v>243</v>
      </c>
      <c r="B245" s="38" t="s">
        <v>9063</v>
      </c>
      <c r="C245" s="38"/>
      <c r="D245" s="38" t="s">
        <v>9064</v>
      </c>
      <c r="E245" s="38" t="s">
        <v>9065</v>
      </c>
      <c r="F245" s="38" t="s">
        <v>9066</v>
      </c>
      <c r="G245" s="38" t="s">
        <v>8689</v>
      </c>
      <c r="H245" s="38" t="s">
        <v>8690</v>
      </c>
      <c r="I245" s="37" t="s">
        <v>123</v>
      </c>
      <c r="J245" s="38" t="s">
        <v>9067</v>
      </c>
      <c r="K245" s="38"/>
      <c r="L245" s="39" t="s">
        <v>7621</v>
      </c>
      <c r="M245" s="39" t="s">
        <v>29</v>
      </c>
      <c r="N245" s="38" t="s">
        <v>9068</v>
      </c>
      <c r="O245" s="39"/>
      <c r="P245" s="39"/>
    </row>
    <row r="246" spans="1:16" ht="13.2" customHeight="1" x14ac:dyDescent="0.25">
      <c r="A246" s="37">
        <v>244</v>
      </c>
      <c r="B246" s="38" t="s">
        <v>9069</v>
      </c>
      <c r="C246" s="38"/>
      <c r="D246" s="38" t="s">
        <v>9070</v>
      </c>
      <c r="E246" s="38" t="s">
        <v>9071</v>
      </c>
      <c r="F246" s="38" t="s">
        <v>9072</v>
      </c>
      <c r="G246" s="38" t="s">
        <v>9073</v>
      </c>
      <c r="H246" s="38" t="s">
        <v>9074</v>
      </c>
      <c r="I246" s="37" t="s">
        <v>96</v>
      </c>
      <c r="J246" s="38" t="s">
        <v>9075</v>
      </c>
      <c r="K246" s="38"/>
      <c r="L246" s="39" t="s">
        <v>7621</v>
      </c>
      <c r="M246" s="39" t="s">
        <v>29</v>
      </c>
      <c r="N246" s="38" t="s">
        <v>3642</v>
      </c>
      <c r="O246" s="39"/>
      <c r="P246" s="39"/>
    </row>
    <row r="247" spans="1:16" ht="13.2" customHeight="1" x14ac:dyDescent="0.25">
      <c r="A247" s="37">
        <v>245</v>
      </c>
      <c r="B247" s="38" t="s">
        <v>9076</v>
      </c>
      <c r="C247" s="38"/>
      <c r="D247" s="38" t="s">
        <v>8718</v>
      </c>
      <c r="E247" s="38" t="s">
        <v>8719</v>
      </c>
      <c r="F247" s="38" t="s">
        <v>8703</v>
      </c>
      <c r="G247" s="38" t="s">
        <v>8476</v>
      </c>
      <c r="H247" s="38" t="s">
        <v>8477</v>
      </c>
      <c r="I247" s="37" t="s">
        <v>84</v>
      </c>
      <c r="J247" s="38" t="s">
        <v>9077</v>
      </c>
      <c r="K247" s="38"/>
      <c r="L247" s="39" t="s">
        <v>516</v>
      </c>
      <c r="M247" s="39" t="s">
        <v>29</v>
      </c>
      <c r="N247" s="38" t="s">
        <v>3689</v>
      </c>
      <c r="O247" s="39"/>
      <c r="P247" s="39"/>
    </row>
    <row r="248" spans="1:16" ht="13.2" customHeight="1" x14ac:dyDescent="0.25">
      <c r="A248" s="37">
        <v>246</v>
      </c>
      <c r="B248" s="38" t="s">
        <v>9078</v>
      </c>
      <c r="C248" s="38"/>
      <c r="D248" s="38" t="s">
        <v>8476</v>
      </c>
      <c r="E248" s="38" t="s">
        <v>8477</v>
      </c>
      <c r="F248" s="38" t="s">
        <v>8177</v>
      </c>
      <c r="G248" s="38" t="s">
        <v>8478</v>
      </c>
      <c r="H248" s="38" t="s">
        <v>8479</v>
      </c>
      <c r="I248" s="37" t="s">
        <v>84</v>
      </c>
      <c r="J248" s="38" t="s">
        <v>9079</v>
      </c>
      <c r="K248" s="38"/>
      <c r="L248" s="39" t="s">
        <v>7621</v>
      </c>
      <c r="M248" s="39" t="s">
        <v>29</v>
      </c>
      <c r="N248" s="38" t="s">
        <v>9080</v>
      </c>
      <c r="O248" s="39"/>
      <c r="P248" s="39"/>
    </row>
    <row r="249" spans="1:16" ht="13.2" customHeight="1" x14ac:dyDescent="0.25">
      <c r="A249" s="37">
        <v>247</v>
      </c>
      <c r="B249" s="38" t="s">
        <v>9081</v>
      </c>
      <c r="C249" s="38"/>
      <c r="D249" s="38" t="s">
        <v>8478</v>
      </c>
      <c r="E249" s="38" t="s">
        <v>8479</v>
      </c>
      <c r="F249" s="38" t="s">
        <v>119</v>
      </c>
      <c r="G249" s="38" t="s">
        <v>8688</v>
      </c>
      <c r="H249" s="38" t="s">
        <v>8689</v>
      </c>
      <c r="I249" s="37" t="s">
        <v>90</v>
      </c>
      <c r="J249" s="38" t="s">
        <v>9082</v>
      </c>
      <c r="K249" s="38"/>
      <c r="L249" s="39" t="s">
        <v>7621</v>
      </c>
      <c r="M249" s="39" t="s">
        <v>29</v>
      </c>
      <c r="N249" s="38" t="s">
        <v>3754</v>
      </c>
      <c r="O249" s="39"/>
      <c r="P249" s="39"/>
    </row>
    <row r="250" spans="1:16" ht="13.2" customHeight="1" x14ac:dyDescent="0.25">
      <c r="A250" s="37">
        <v>248</v>
      </c>
      <c r="B250" s="38" t="s">
        <v>9083</v>
      </c>
      <c r="C250" s="38"/>
      <c r="D250" s="38" t="s">
        <v>8688</v>
      </c>
      <c r="E250" s="38" t="s">
        <v>8689</v>
      </c>
      <c r="F250" s="38" t="s">
        <v>8690</v>
      </c>
      <c r="G250" s="38" t="s">
        <v>8691</v>
      </c>
      <c r="H250" s="38" t="s">
        <v>8718</v>
      </c>
      <c r="I250" s="37" t="s">
        <v>84</v>
      </c>
      <c r="J250" s="38" t="s">
        <v>9084</v>
      </c>
      <c r="K250" s="38"/>
      <c r="L250" s="39" t="s">
        <v>7621</v>
      </c>
      <c r="M250" s="39" t="s">
        <v>29</v>
      </c>
      <c r="N250" s="38" t="s">
        <v>3754</v>
      </c>
      <c r="O250" s="39"/>
      <c r="P250" s="39"/>
    </row>
    <row r="251" spans="1:16" ht="13.2" customHeight="1" x14ac:dyDescent="0.25">
      <c r="A251" s="37">
        <v>249</v>
      </c>
      <c r="B251" s="38" t="s">
        <v>9085</v>
      </c>
      <c r="C251" s="38"/>
      <c r="D251" s="38" t="s">
        <v>9086</v>
      </c>
      <c r="E251" s="38" t="s">
        <v>9087</v>
      </c>
      <c r="F251" s="38" t="s">
        <v>9088</v>
      </c>
      <c r="G251" s="38" t="s">
        <v>9089</v>
      </c>
      <c r="H251" s="38" t="s">
        <v>9090</v>
      </c>
      <c r="I251" s="37" t="s">
        <v>84</v>
      </c>
      <c r="J251" s="38" t="s">
        <v>9091</v>
      </c>
      <c r="K251" s="38"/>
      <c r="L251" s="39" t="s">
        <v>7856</v>
      </c>
      <c r="M251" s="39" t="s">
        <v>29</v>
      </c>
      <c r="N251" s="38" t="s">
        <v>2537</v>
      </c>
      <c r="O251" s="39"/>
      <c r="P251" s="39"/>
    </row>
    <row r="252" spans="1:16" ht="13.2" customHeight="1" x14ac:dyDescent="0.25">
      <c r="A252" s="37">
        <v>250</v>
      </c>
      <c r="B252" s="38" t="s">
        <v>9092</v>
      </c>
      <c r="C252" s="38"/>
      <c r="D252" s="38" t="s">
        <v>9093</v>
      </c>
      <c r="E252" s="38" t="s">
        <v>9094</v>
      </c>
      <c r="F252" s="38" t="s">
        <v>9095</v>
      </c>
      <c r="G252" s="38" t="s">
        <v>9096</v>
      </c>
      <c r="H252" s="38" t="s">
        <v>9097</v>
      </c>
      <c r="I252" s="37" t="s">
        <v>84</v>
      </c>
      <c r="J252" s="38" t="s">
        <v>9098</v>
      </c>
      <c r="K252" s="38"/>
      <c r="L252" s="39" t="s">
        <v>7856</v>
      </c>
      <c r="M252" s="39" t="s">
        <v>29</v>
      </c>
      <c r="N252" s="38" t="s">
        <v>3733</v>
      </c>
      <c r="O252" s="39"/>
      <c r="P252" s="39"/>
    </row>
    <row r="253" spans="1:16" ht="13.2" customHeight="1" x14ac:dyDescent="0.25">
      <c r="A253" s="37">
        <v>251</v>
      </c>
      <c r="B253" s="38" t="s">
        <v>9099</v>
      </c>
      <c r="C253" s="38"/>
      <c r="D253" s="38" t="s">
        <v>9100</v>
      </c>
      <c r="E253" s="38" t="s">
        <v>9101</v>
      </c>
      <c r="F253" s="38" t="s">
        <v>9102</v>
      </c>
      <c r="G253" s="38" t="s">
        <v>9103</v>
      </c>
      <c r="H253" s="38" t="s">
        <v>9104</v>
      </c>
      <c r="I253" s="37" t="s">
        <v>84</v>
      </c>
      <c r="J253" s="38" t="s">
        <v>9105</v>
      </c>
      <c r="K253" s="38"/>
      <c r="L253" s="39" t="s">
        <v>7621</v>
      </c>
      <c r="M253" s="39" t="s">
        <v>29</v>
      </c>
      <c r="N253" s="38" t="s">
        <v>3864</v>
      </c>
      <c r="O253" s="39"/>
      <c r="P253" s="39"/>
    </row>
    <row r="254" spans="1:16" ht="13.2" customHeight="1" x14ac:dyDescent="0.25">
      <c r="A254" s="37">
        <v>252</v>
      </c>
      <c r="B254" s="38" t="s">
        <v>9106</v>
      </c>
      <c r="C254" s="38"/>
      <c r="D254" s="38" t="s">
        <v>9107</v>
      </c>
      <c r="E254" s="38" t="s">
        <v>9108</v>
      </c>
      <c r="F254" s="38" t="s">
        <v>9109</v>
      </c>
      <c r="G254" s="38" t="s">
        <v>9110</v>
      </c>
      <c r="H254" s="38" t="s">
        <v>9111</v>
      </c>
      <c r="I254" s="37" t="s">
        <v>84</v>
      </c>
      <c r="J254" s="38" t="s">
        <v>9112</v>
      </c>
      <c r="K254" s="38"/>
      <c r="L254" s="39" t="s">
        <v>8225</v>
      </c>
      <c r="M254" s="39" t="s">
        <v>29</v>
      </c>
      <c r="N254" s="38" t="s">
        <v>9113</v>
      </c>
      <c r="O254" s="39"/>
      <c r="P254" s="39"/>
    </row>
    <row r="255" spans="1:16" ht="13.2" customHeight="1" x14ac:dyDescent="0.25">
      <c r="A255" s="37">
        <v>253</v>
      </c>
      <c r="B255" s="38" t="s">
        <v>9114</v>
      </c>
      <c r="C255" s="38"/>
      <c r="D255" s="38" t="s">
        <v>9115</v>
      </c>
      <c r="E255" s="38" t="s">
        <v>3414</v>
      </c>
      <c r="F255" s="38" t="s">
        <v>3038</v>
      </c>
      <c r="G255" s="38" t="s">
        <v>3470</v>
      </c>
      <c r="H255" s="38" t="s">
        <v>3036</v>
      </c>
      <c r="I255" s="37" t="s">
        <v>84</v>
      </c>
      <c r="J255" s="38" t="s">
        <v>9116</v>
      </c>
      <c r="K255" s="38"/>
      <c r="L255" s="39" t="s">
        <v>7621</v>
      </c>
      <c r="M255" s="39" t="s">
        <v>29</v>
      </c>
      <c r="N255" s="38" t="s">
        <v>1661</v>
      </c>
      <c r="O255" s="39"/>
      <c r="P255" s="39"/>
    </row>
    <row r="256" spans="1:16" ht="13.2" customHeight="1" x14ac:dyDescent="0.25">
      <c r="A256" s="37">
        <v>254</v>
      </c>
      <c r="B256" s="38" t="s">
        <v>9117</v>
      </c>
      <c r="C256" s="38"/>
      <c r="D256" s="38" t="s">
        <v>9118</v>
      </c>
      <c r="E256" s="38" t="s">
        <v>9119</v>
      </c>
      <c r="F256" s="38" t="s">
        <v>9120</v>
      </c>
      <c r="G256" s="38" t="s">
        <v>9121</v>
      </c>
      <c r="H256" s="38" t="s">
        <v>9122</v>
      </c>
      <c r="I256" s="37" t="s">
        <v>84</v>
      </c>
      <c r="J256" s="38" t="s">
        <v>9123</v>
      </c>
      <c r="K256" s="38"/>
      <c r="L256" s="39" t="s">
        <v>7621</v>
      </c>
      <c r="M256" s="39" t="s">
        <v>29</v>
      </c>
      <c r="N256" s="38" t="s">
        <v>3864</v>
      </c>
      <c r="O256" s="39"/>
      <c r="P256" s="39"/>
    </row>
    <row r="257" spans="1:16" ht="13.2" customHeight="1" x14ac:dyDescent="0.25">
      <c r="A257" s="37">
        <v>255</v>
      </c>
      <c r="B257" s="38" t="s">
        <v>9124</v>
      </c>
      <c r="C257" s="38"/>
      <c r="D257" s="38" t="s">
        <v>9125</v>
      </c>
      <c r="E257" s="38" t="s">
        <v>9126</v>
      </c>
      <c r="F257" s="38" t="s">
        <v>9127</v>
      </c>
      <c r="G257" s="38" t="s">
        <v>9128</v>
      </c>
      <c r="H257" s="38" t="s">
        <v>9129</v>
      </c>
      <c r="I257" s="37" t="s">
        <v>84</v>
      </c>
      <c r="J257" s="38" t="s">
        <v>9130</v>
      </c>
      <c r="K257" s="38"/>
      <c r="L257" s="39" t="s">
        <v>7671</v>
      </c>
      <c r="M257" s="39" t="s">
        <v>29</v>
      </c>
      <c r="N257" s="38" t="s">
        <v>2548</v>
      </c>
      <c r="O257" s="39"/>
      <c r="P257" s="39"/>
    </row>
    <row r="258" spans="1:16" ht="13.2" customHeight="1" x14ac:dyDescent="0.25">
      <c r="A258" s="37">
        <v>256</v>
      </c>
      <c r="B258" s="38" t="s">
        <v>9131</v>
      </c>
      <c r="C258" s="38"/>
      <c r="D258" s="38" t="s">
        <v>2724</v>
      </c>
      <c r="E258" s="38" t="s">
        <v>4027</v>
      </c>
      <c r="F258" s="38" t="s">
        <v>9132</v>
      </c>
      <c r="G258" s="38" t="s">
        <v>8957</v>
      </c>
      <c r="H258" s="38" t="s">
        <v>9133</v>
      </c>
      <c r="I258" s="37" t="s">
        <v>84</v>
      </c>
      <c r="J258" s="38" t="s">
        <v>9134</v>
      </c>
      <c r="K258" s="38"/>
      <c r="L258" s="39" t="s">
        <v>7621</v>
      </c>
      <c r="M258" s="39" t="s">
        <v>29</v>
      </c>
      <c r="N258" s="38" t="s">
        <v>9135</v>
      </c>
      <c r="O258" s="39"/>
      <c r="P258" s="39"/>
    </row>
    <row r="259" spans="1:16" ht="13.2" customHeight="1" x14ac:dyDescent="0.25">
      <c r="A259" s="37">
        <v>257</v>
      </c>
      <c r="B259" s="38" t="s">
        <v>9136</v>
      </c>
      <c r="C259" s="38"/>
      <c r="D259" s="38" t="s">
        <v>9137</v>
      </c>
      <c r="E259" s="38" t="s">
        <v>9138</v>
      </c>
      <c r="F259" s="38" t="s">
        <v>9139</v>
      </c>
      <c r="G259" s="38" t="s">
        <v>9140</v>
      </c>
      <c r="H259" s="38" t="s">
        <v>9141</v>
      </c>
      <c r="I259" s="37" t="s">
        <v>84</v>
      </c>
      <c r="J259" s="38" t="s">
        <v>9142</v>
      </c>
      <c r="K259" s="38"/>
      <c r="L259" s="39" t="s">
        <v>7621</v>
      </c>
      <c r="M259" s="39" t="s">
        <v>29</v>
      </c>
      <c r="N259" s="38" t="s">
        <v>9143</v>
      </c>
      <c r="O259" s="39"/>
      <c r="P259" s="39"/>
    </row>
    <row r="260" spans="1:16" ht="13.2" customHeight="1" x14ac:dyDescent="0.25">
      <c r="A260" s="37">
        <v>258</v>
      </c>
      <c r="B260" s="38" t="s">
        <v>9144</v>
      </c>
      <c r="C260" s="38"/>
      <c r="D260" s="38" t="s">
        <v>3271</v>
      </c>
      <c r="E260" s="38" t="s">
        <v>8152</v>
      </c>
      <c r="F260" s="38" t="s">
        <v>9145</v>
      </c>
      <c r="G260" s="38" t="s">
        <v>3212</v>
      </c>
      <c r="H260" s="38" t="s">
        <v>3213</v>
      </c>
      <c r="I260" s="37" t="s">
        <v>84</v>
      </c>
      <c r="J260" s="38" t="s">
        <v>9146</v>
      </c>
      <c r="K260" s="38"/>
      <c r="L260" s="39" t="s">
        <v>7621</v>
      </c>
      <c r="M260" s="39" t="s">
        <v>29</v>
      </c>
      <c r="N260" s="38" t="s">
        <v>3819</v>
      </c>
      <c r="O260" s="39"/>
      <c r="P260" s="39"/>
    </row>
    <row r="261" spans="1:16" ht="13.2" customHeight="1" x14ac:dyDescent="0.25">
      <c r="A261" s="37">
        <v>259</v>
      </c>
      <c r="B261" s="38" t="s">
        <v>9147</v>
      </c>
      <c r="C261" s="38"/>
      <c r="D261" s="38" t="s">
        <v>9148</v>
      </c>
      <c r="E261" s="38" t="s">
        <v>9149</v>
      </c>
      <c r="F261" s="38" t="s">
        <v>9150</v>
      </c>
      <c r="G261" s="38" t="s">
        <v>9151</v>
      </c>
      <c r="H261" s="38" t="s">
        <v>9152</v>
      </c>
      <c r="I261" s="37" t="s">
        <v>84</v>
      </c>
      <c r="J261" s="38" t="s">
        <v>9153</v>
      </c>
      <c r="K261" s="38"/>
      <c r="L261" s="39" t="s">
        <v>7621</v>
      </c>
      <c r="M261" s="39" t="s">
        <v>29</v>
      </c>
      <c r="N261" s="38" t="s">
        <v>9135</v>
      </c>
      <c r="O261" s="39"/>
      <c r="P261" s="39"/>
    </row>
    <row r="262" spans="1:16" ht="13.2" customHeight="1" x14ac:dyDescent="0.25">
      <c r="A262" s="37">
        <v>260</v>
      </c>
      <c r="B262" s="38" t="s">
        <v>9154</v>
      </c>
      <c r="C262" s="38"/>
      <c r="D262" s="38" t="s">
        <v>8478</v>
      </c>
      <c r="E262" s="38" t="s">
        <v>8479</v>
      </c>
      <c r="F262" s="38" t="s">
        <v>119</v>
      </c>
      <c r="G262" s="38" t="s">
        <v>8688</v>
      </c>
      <c r="H262" s="38" t="s">
        <v>8689</v>
      </c>
      <c r="I262" s="37" t="s">
        <v>84</v>
      </c>
      <c r="J262" s="38" t="s">
        <v>9155</v>
      </c>
      <c r="K262" s="38"/>
      <c r="L262" s="39" t="s">
        <v>7671</v>
      </c>
      <c r="M262" s="39" t="s">
        <v>29</v>
      </c>
      <c r="N262" s="38" t="s">
        <v>9156</v>
      </c>
      <c r="O262" s="39"/>
      <c r="P262" s="39"/>
    </row>
    <row r="263" spans="1:16" ht="13.2" customHeight="1" x14ac:dyDescent="0.25">
      <c r="A263" s="37">
        <v>261</v>
      </c>
      <c r="B263" s="38" t="s">
        <v>9157</v>
      </c>
      <c r="C263" s="38"/>
      <c r="D263" s="38" t="s">
        <v>8688</v>
      </c>
      <c r="E263" s="38" t="s">
        <v>8689</v>
      </c>
      <c r="F263" s="38" t="s">
        <v>8690</v>
      </c>
      <c r="G263" s="38" t="s">
        <v>8691</v>
      </c>
      <c r="H263" s="38" t="s">
        <v>8718</v>
      </c>
      <c r="I263" s="37" t="s">
        <v>84</v>
      </c>
      <c r="J263" s="38" t="s">
        <v>9012</v>
      </c>
      <c r="K263" s="38"/>
      <c r="L263" s="39" t="s">
        <v>7630</v>
      </c>
      <c r="M263" s="39" t="s">
        <v>29</v>
      </c>
      <c r="N263" s="38" t="s">
        <v>1669</v>
      </c>
      <c r="O263" s="39"/>
      <c r="P263" s="39"/>
    </row>
    <row r="264" spans="1:16" ht="13.2" customHeight="1" x14ac:dyDescent="0.25">
      <c r="A264" s="37">
        <v>262</v>
      </c>
      <c r="B264" s="38" t="s">
        <v>9158</v>
      </c>
      <c r="C264" s="38"/>
      <c r="D264" s="38" t="s">
        <v>9159</v>
      </c>
      <c r="E264" s="38" t="s">
        <v>9160</v>
      </c>
      <c r="F264" s="38" t="s">
        <v>9161</v>
      </c>
      <c r="G264" s="38" t="s">
        <v>8703</v>
      </c>
      <c r="H264" s="38" t="s">
        <v>8476</v>
      </c>
      <c r="I264" s="37" t="s">
        <v>84</v>
      </c>
      <c r="J264" s="38" t="s">
        <v>9162</v>
      </c>
      <c r="K264" s="38"/>
      <c r="L264" s="39" t="s">
        <v>7671</v>
      </c>
      <c r="M264" s="39" t="s">
        <v>29</v>
      </c>
      <c r="N264" s="38" t="s">
        <v>3900</v>
      </c>
      <c r="O264" s="39"/>
      <c r="P264" s="39"/>
    </row>
    <row r="265" spans="1:16" ht="13.2" customHeight="1" x14ac:dyDescent="0.25">
      <c r="A265" s="37">
        <v>263</v>
      </c>
      <c r="B265" s="38" t="s">
        <v>9163</v>
      </c>
      <c r="C265" s="38"/>
      <c r="D265" s="38" t="s">
        <v>8703</v>
      </c>
      <c r="E265" s="38" t="s">
        <v>8476</v>
      </c>
      <c r="F265" s="38" t="s">
        <v>8477</v>
      </c>
      <c r="G265" s="38" t="s">
        <v>8177</v>
      </c>
      <c r="H265" s="38" t="s">
        <v>8478</v>
      </c>
      <c r="I265" s="37" t="s">
        <v>84</v>
      </c>
      <c r="J265" s="38" t="s">
        <v>9164</v>
      </c>
      <c r="K265" s="38"/>
      <c r="L265" s="39" t="s">
        <v>516</v>
      </c>
      <c r="M265" s="39" t="s">
        <v>29</v>
      </c>
      <c r="N265" s="38" t="s">
        <v>3900</v>
      </c>
      <c r="O265" s="39"/>
      <c r="P265" s="39"/>
    </row>
    <row r="266" spans="1:16" ht="13.2" customHeight="1" x14ac:dyDescent="0.25">
      <c r="A266" s="37">
        <v>264</v>
      </c>
      <c r="B266" s="38" t="s">
        <v>9165</v>
      </c>
      <c r="C266" s="38"/>
      <c r="D266" s="38" t="s">
        <v>8177</v>
      </c>
      <c r="E266" s="38" t="s">
        <v>8478</v>
      </c>
      <c r="F266" s="38" t="s">
        <v>8479</v>
      </c>
      <c r="G266" s="38" t="s">
        <v>119</v>
      </c>
      <c r="H266" s="38" t="s">
        <v>8688</v>
      </c>
      <c r="I266" s="37" t="s">
        <v>84</v>
      </c>
      <c r="J266" s="38" t="s">
        <v>9166</v>
      </c>
      <c r="K266" s="38"/>
      <c r="L266" s="39" t="s">
        <v>7630</v>
      </c>
      <c r="M266" s="39" t="s">
        <v>29</v>
      </c>
      <c r="N266" s="38" t="s">
        <v>3900</v>
      </c>
      <c r="O266" s="39"/>
      <c r="P266" s="39"/>
    </row>
    <row r="267" spans="1:16" ht="13.2" customHeight="1" x14ac:dyDescent="0.25">
      <c r="A267" s="37">
        <v>265</v>
      </c>
      <c r="B267" s="38" t="s">
        <v>9167</v>
      </c>
      <c r="C267" s="38"/>
      <c r="D267" s="38" t="s">
        <v>119</v>
      </c>
      <c r="E267" s="38" t="s">
        <v>8688</v>
      </c>
      <c r="F267" s="38" t="s">
        <v>8689</v>
      </c>
      <c r="G267" s="38" t="s">
        <v>8690</v>
      </c>
      <c r="H267" s="38" t="s">
        <v>8691</v>
      </c>
      <c r="I267" s="37" t="s">
        <v>84</v>
      </c>
      <c r="J267" s="38" t="s">
        <v>9168</v>
      </c>
      <c r="K267" s="38"/>
      <c r="L267" s="39" t="s">
        <v>7630</v>
      </c>
      <c r="M267" s="39" t="s">
        <v>29</v>
      </c>
      <c r="N267" s="38" t="s">
        <v>2655</v>
      </c>
      <c r="O267" s="39"/>
      <c r="P267" s="39"/>
    </row>
    <row r="268" spans="1:16" ht="13.2" customHeight="1" x14ac:dyDescent="0.25">
      <c r="A268" s="37">
        <v>266</v>
      </c>
      <c r="B268" s="38" t="s">
        <v>9169</v>
      </c>
      <c r="C268" s="38"/>
      <c r="D268" s="38" t="s">
        <v>8690</v>
      </c>
      <c r="E268" s="38" t="s">
        <v>8691</v>
      </c>
      <c r="F268" s="38" t="s">
        <v>8718</v>
      </c>
      <c r="G268" s="38" t="s">
        <v>8719</v>
      </c>
      <c r="H268" s="38" t="s">
        <v>8703</v>
      </c>
      <c r="I268" s="37" t="s">
        <v>84</v>
      </c>
      <c r="J268" s="38" t="s">
        <v>9170</v>
      </c>
      <c r="K268" s="38"/>
      <c r="L268" s="39" t="s">
        <v>7630</v>
      </c>
      <c r="M268" s="39" t="s">
        <v>29</v>
      </c>
      <c r="N268" s="38" t="s">
        <v>1669</v>
      </c>
      <c r="O268" s="39"/>
      <c r="P268" s="39"/>
    </row>
    <row r="269" spans="1:16" ht="13.2" customHeight="1" x14ac:dyDescent="0.25">
      <c r="A269" s="37">
        <v>267</v>
      </c>
      <c r="B269" s="38" t="s">
        <v>9171</v>
      </c>
      <c r="C269" s="38"/>
      <c r="D269" s="38" t="s">
        <v>8719</v>
      </c>
      <c r="E269" s="38" t="s">
        <v>8703</v>
      </c>
      <c r="F269" s="38" t="s">
        <v>8476</v>
      </c>
      <c r="G269" s="38" t="s">
        <v>8477</v>
      </c>
      <c r="H269" s="38" t="s">
        <v>8177</v>
      </c>
      <c r="I269" s="37" t="s">
        <v>84</v>
      </c>
      <c r="J269" s="38" t="s">
        <v>9026</v>
      </c>
      <c r="K269" s="38"/>
      <c r="L269" s="39" t="s">
        <v>7630</v>
      </c>
      <c r="M269" s="39" t="s">
        <v>29</v>
      </c>
      <c r="N269" s="38" t="s">
        <v>2655</v>
      </c>
      <c r="O269" s="39"/>
      <c r="P269" s="39"/>
    </row>
    <row r="270" spans="1:16" ht="13.2" customHeight="1" x14ac:dyDescent="0.25">
      <c r="A270" s="37">
        <v>268</v>
      </c>
      <c r="B270" s="38" t="s">
        <v>9172</v>
      </c>
      <c r="C270" s="38"/>
      <c r="D270" s="38" t="s">
        <v>8477</v>
      </c>
      <c r="E270" s="38" t="s">
        <v>8177</v>
      </c>
      <c r="F270" s="38" t="s">
        <v>8478</v>
      </c>
      <c r="G270" s="38" t="s">
        <v>8479</v>
      </c>
      <c r="H270" s="38" t="s">
        <v>119</v>
      </c>
      <c r="I270" s="37" t="s">
        <v>84</v>
      </c>
      <c r="J270" s="38" t="s">
        <v>9173</v>
      </c>
      <c r="K270" s="38"/>
      <c r="L270" s="39" t="s">
        <v>7630</v>
      </c>
      <c r="M270" s="39" t="s">
        <v>29</v>
      </c>
      <c r="N270" s="38" t="s">
        <v>1669</v>
      </c>
      <c r="O270" s="39"/>
      <c r="P270" s="39"/>
    </row>
    <row r="271" spans="1:16" ht="13.2" customHeight="1" x14ac:dyDescent="0.25">
      <c r="A271" s="37">
        <v>269</v>
      </c>
      <c r="B271" s="38" t="s">
        <v>9174</v>
      </c>
      <c r="C271" s="38"/>
      <c r="D271" s="38" t="s">
        <v>8479</v>
      </c>
      <c r="E271" s="38" t="s">
        <v>119</v>
      </c>
      <c r="F271" s="38" t="s">
        <v>8688</v>
      </c>
      <c r="G271" s="38" t="s">
        <v>8689</v>
      </c>
      <c r="H271" s="38" t="s">
        <v>8690</v>
      </c>
      <c r="I271" s="37" t="s">
        <v>84</v>
      </c>
      <c r="J271" s="38" t="s">
        <v>9030</v>
      </c>
      <c r="K271" s="38"/>
      <c r="L271" s="39" t="s">
        <v>7621</v>
      </c>
      <c r="M271" s="39" t="s">
        <v>29</v>
      </c>
      <c r="N271" s="38" t="s">
        <v>6940</v>
      </c>
      <c r="O271" s="39"/>
      <c r="P271" s="39"/>
    </row>
    <row r="272" spans="1:16" ht="13.2" customHeight="1" x14ac:dyDescent="0.25">
      <c r="A272" s="37">
        <v>270</v>
      </c>
      <c r="B272" s="38" t="s">
        <v>9175</v>
      </c>
      <c r="C272" s="38"/>
      <c r="D272" s="38" t="s">
        <v>8689</v>
      </c>
      <c r="E272" s="38" t="s">
        <v>8690</v>
      </c>
      <c r="F272" s="38" t="s">
        <v>8691</v>
      </c>
      <c r="G272" s="38" t="s">
        <v>8718</v>
      </c>
      <c r="H272" s="38" t="s">
        <v>8719</v>
      </c>
      <c r="I272" s="37" t="s">
        <v>84</v>
      </c>
      <c r="J272" s="38" t="s">
        <v>9176</v>
      </c>
      <c r="K272" s="38"/>
      <c r="L272" s="39" t="s">
        <v>7621</v>
      </c>
      <c r="M272" s="39" t="s">
        <v>29</v>
      </c>
      <c r="N272" s="38" t="s">
        <v>3999</v>
      </c>
      <c r="O272" s="39"/>
      <c r="P272" s="39"/>
    </row>
    <row r="273" spans="1:16" ht="13.2" customHeight="1" x14ac:dyDescent="0.25">
      <c r="A273" s="37">
        <v>271</v>
      </c>
      <c r="B273" s="38" t="s">
        <v>9177</v>
      </c>
      <c r="C273" s="38"/>
      <c r="D273" s="38" t="s">
        <v>8478</v>
      </c>
      <c r="E273" s="38" t="s">
        <v>8479</v>
      </c>
      <c r="F273" s="38" t="s">
        <v>119</v>
      </c>
      <c r="G273" s="38" t="s">
        <v>8688</v>
      </c>
      <c r="H273" s="38" t="s">
        <v>8689</v>
      </c>
      <c r="I273" s="37" t="s">
        <v>84</v>
      </c>
      <c r="J273" s="38" t="s">
        <v>9178</v>
      </c>
      <c r="K273" s="38"/>
      <c r="L273" s="39" t="s">
        <v>7621</v>
      </c>
      <c r="M273" s="39" t="s">
        <v>29</v>
      </c>
      <c r="N273" s="38" t="s">
        <v>1669</v>
      </c>
      <c r="O273" s="39"/>
      <c r="P273" s="39"/>
    </row>
    <row r="274" spans="1:16" ht="13.2" customHeight="1" x14ac:dyDescent="0.25">
      <c r="A274" s="37">
        <v>272</v>
      </c>
      <c r="B274" s="38" t="s">
        <v>9038</v>
      </c>
      <c r="C274" s="38"/>
      <c r="D274" s="38" t="s">
        <v>8688</v>
      </c>
      <c r="E274" s="38" t="s">
        <v>8689</v>
      </c>
      <c r="F274" s="38" t="s">
        <v>8690</v>
      </c>
      <c r="G274" s="38" t="s">
        <v>8691</v>
      </c>
      <c r="H274" s="38" t="s">
        <v>8718</v>
      </c>
      <c r="I274" s="37" t="s">
        <v>84</v>
      </c>
      <c r="J274" s="38" t="s">
        <v>9039</v>
      </c>
      <c r="K274" s="38"/>
      <c r="L274" s="39" t="s">
        <v>7856</v>
      </c>
      <c r="M274" s="39" t="s">
        <v>29</v>
      </c>
      <c r="N274" s="38" t="s">
        <v>3936</v>
      </c>
      <c r="O274" s="39"/>
      <c r="P274" s="39"/>
    </row>
    <row r="275" spans="1:16" ht="13.2" customHeight="1" x14ac:dyDescent="0.25">
      <c r="A275" s="37">
        <v>273</v>
      </c>
      <c r="B275" s="38" t="s">
        <v>9179</v>
      </c>
      <c r="C275" s="38"/>
      <c r="D275" s="38" t="s">
        <v>8703</v>
      </c>
      <c r="E275" s="38" t="s">
        <v>8476</v>
      </c>
      <c r="F275" s="38" t="s">
        <v>8477</v>
      </c>
      <c r="G275" s="38" t="s">
        <v>8177</v>
      </c>
      <c r="H275" s="38" t="s">
        <v>8478</v>
      </c>
      <c r="I275" s="37" t="s">
        <v>84</v>
      </c>
      <c r="J275" s="38" t="s">
        <v>9180</v>
      </c>
      <c r="K275" s="38"/>
      <c r="L275" s="39" t="s">
        <v>7671</v>
      </c>
      <c r="M275" s="39" t="s">
        <v>29</v>
      </c>
      <c r="N275" s="38" t="s">
        <v>4030</v>
      </c>
      <c r="O275" s="39"/>
      <c r="P275" s="39"/>
    </row>
    <row r="276" spans="1:16" ht="13.2" customHeight="1" x14ac:dyDescent="0.25">
      <c r="A276" s="37">
        <v>274</v>
      </c>
      <c r="B276" s="38" t="s">
        <v>9181</v>
      </c>
      <c r="C276" s="38"/>
      <c r="D276" s="38" t="s">
        <v>8479</v>
      </c>
      <c r="E276" s="38" t="s">
        <v>119</v>
      </c>
      <c r="F276" s="38" t="s">
        <v>8688</v>
      </c>
      <c r="G276" s="38" t="s">
        <v>8689</v>
      </c>
      <c r="H276" s="38" t="s">
        <v>8690</v>
      </c>
      <c r="I276" s="37" t="s">
        <v>84</v>
      </c>
      <c r="J276" s="38" t="s">
        <v>9030</v>
      </c>
      <c r="K276" s="38"/>
      <c r="L276" s="39" t="s">
        <v>7621</v>
      </c>
      <c r="M276" s="39" t="s">
        <v>29</v>
      </c>
      <c r="N276" s="38" t="s">
        <v>3936</v>
      </c>
      <c r="O276" s="39"/>
      <c r="P276" s="39"/>
    </row>
    <row r="277" spans="1:16" ht="13.2" customHeight="1" x14ac:dyDescent="0.25">
      <c r="A277" s="37">
        <v>275</v>
      </c>
      <c r="B277" s="38" t="s">
        <v>9182</v>
      </c>
      <c r="C277" s="38"/>
      <c r="D277" s="38" t="s">
        <v>8476</v>
      </c>
      <c r="E277" s="38" t="s">
        <v>8477</v>
      </c>
      <c r="F277" s="38" t="s">
        <v>8177</v>
      </c>
      <c r="G277" s="38" t="s">
        <v>8478</v>
      </c>
      <c r="H277" s="38" t="s">
        <v>8479</v>
      </c>
      <c r="I277" s="37" t="s">
        <v>84</v>
      </c>
      <c r="J277" s="38" t="s">
        <v>9183</v>
      </c>
      <c r="K277" s="38"/>
      <c r="L277" s="39" t="s">
        <v>516</v>
      </c>
      <c r="M277" s="39" t="s">
        <v>29</v>
      </c>
      <c r="N277" s="38" t="s">
        <v>1669</v>
      </c>
      <c r="O277" s="39"/>
      <c r="P277" s="39"/>
    </row>
    <row r="278" spans="1:16" ht="13.2" customHeight="1" x14ac:dyDescent="0.25">
      <c r="A278" s="37">
        <v>276</v>
      </c>
      <c r="B278" s="38" t="s">
        <v>9184</v>
      </c>
      <c r="C278" s="38"/>
      <c r="D278" s="38" t="s">
        <v>8478</v>
      </c>
      <c r="E278" s="38" t="s">
        <v>8479</v>
      </c>
      <c r="F278" s="38" t="s">
        <v>119</v>
      </c>
      <c r="G278" s="38" t="s">
        <v>8688</v>
      </c>
      <c r="H278" s="38" t="s">
        <v>8689</v>
      </c>
      <c r="I278" s="37" t="s">
        <v>84</v>
      </c>
      <c r="J278" s="38" t="s">
        <v>9010</v>
      </c>
      <c r="K278" s="38"/>
      <c r="L278" s="39" t="s">
        <v>7630</v>
      </c>
      <c r="M278" s="39" t="s">
        <v>29</v>
      </c>
      <c r="N278" s="38" t="s">
        <v>1669</v>
      </c>
      <c r="O278" s="39"/>
      <c r="P278" s="39"/>
    </row>
    <row r="279" spans="1:16" ht="13.2" customHeight="1" x14ac:dyDescent="0.25">
      <c r="A279" s="37">
        <v>277</v>
      </c>
      <c r="B279" s="38" t="s">
        <v>9185</v>
      </c>
      <c r="C279" s="38"/>
      <c r="D279" s="38" t="s">
        <v>8688</v>
      </c>
      <c r="E279" s="38" t="s">
        <v>8689</v>
      </c>
      <c r="F279" s="38" t="s">
        <v>8690</v>
      </c>
      <c r="G279" s="38" t="s">
        <v>8691</v>
      </c>
      <c r="H279" s="38" t="s">
        <v>8718</v>
      </c>
      <c r="I279" s="37" t="s">
        <v>84</v>
      </c>
      <c r="J279" s="38" t="s">
        <v>9012</v>
      </c>
      <c r="K279" s="38"/>
      <c r="L279" s="39" t="s">
        <v>7630</v>
      </c>
      <c r="M279" s="39" t="s">
        <v>29</v>
      </c>
      <c r="N279" s="38" t="s">
        <v>9186</v>
      </c>
      <c r="O279" s="39"/>
      <c r="P279" s="39"/>
    </row>
    <row r="280" spans="1:16" ht="13.2" customHeight="1" x14ac:dyDescent="0.25">
      <c r="A280" s="37">
        <v>278</v>
      </c>
      <c r="B280" s="38" t="s">
        <v>9187</v>
      </c>
      <c r="C280" s="38"/>
      <c r="D280" s="38" t="s">
        <v>8691</v>
      </c>
      <c r="E280" s="38" t="s">
        <v>8718</v>
      </c>
      <c r="F280" s="38" t="s">
        <v>8719</v>
      </c>
      <c r="G280" s="38" t="s">
        <v>8703</v>
      </c>
      <c r="H280" s="38" t="s">
        <v>8476</v>
      </c>
      <c r="I280" s="37" t="s">
        <v>84</v>
      </c>
      <c r="J280" s="38" t="s">
        <v>9188</v>
      </c>
      <c r="K280" s="38"/>
      <c r="L280" s="39" t="s">
        <v>7630</v>
      </c>
      <c r="M280" s="39" t="s">
        <v>29</v>
      </c>
      <c r="N280" s="38" t="s">
        <v>1669</v>
      </c>
      <c r="O280" s="39"/>
      <c r="P280" s="39"/>
    </row>
    <row r="281" spans="1:16" ht="13.2" customHeight="1" x14ac:dyDescent="0.25">
      <c r="A281" s="37">
        <v>279</v>
      </c>
      <c r="B281" s="38" t="s">
        <v>9189</v>
      </c>
      <c r="C281" s="38"/>
      <c r="D281" s="38" t="s">
        <v>8703</v>
      </c>
      <c r="E281" s="38" t="s">
        <v>8476</v>
      </c>
      <c r="F281" s="38" t="s">
        <v>8477</v>
      </c>
      <c r="G281" s="38" t="s">
        <v>8177</v>
      </c>
      <c r="H281" s="38" t="s">
        <v>8478</v>
      </c>
      <c r="I281" s="37" t="s">
        <v>84</v>
      </c>
      <c r="J281" s="38" t="s">
        <v>9190</v>
      </c>
      <c r="K281" s="38"/>
      <c r="L281" s="39" t="s">
        <v>7630</v>
      </c>
      <c r="M281" s="39" t="s">
        <v>29</v>
      </c>
      <c r="N281" s="38" t="s">
        <v>9191</v>
      </c>
      <c r="O281" s="39"/>
      <c r="P281" s="39"/>
    </row>
    <row r="282" spans="1:16" ht="13.2" customHeight="1" x14ac:dyDescent="0.25">
      <c r="A282" s="37">
        <v>280</v>
      </c>
      <c r="B282" s="38" t="s">
        <v>9192</v>
      </c>
      <c r="C282" s="38"/>
      <c r="D282" s="38" t="s">
        <v>8177</v>
      </c>
      <c r="E282" s="38" t="s">
        <v>8478</v>
      </c>
      <c r="F282" s="38" t="s">
        <v>8479</v>
      </c>
      <c r="G282" s="38" t="s">
        <v>119</v>
      </c>
      <c r="H282" s="38" t="s">
        <v>8688</v>
      </c>
      <c r="I282" s="37" t="s">
        <v>84</v>
      </c>
      <c r="J282" s="38" t="s">
        <v>9193</v>
      </c>
      <c r="K282" s="38"/>
      <c r="L282" s="39" t="s">
        <v>7630</v>
      </c>
      <c r="M282" s="39" t="s">
        <v>29</v>
      </c>
      <c r="N282" s="38" t="s">
        <v>9194</v>
      </c>
      <c r="O282" s="39"/>
      <c r="P282" s="39"/>
    </row>
    <row r="283" spans="1:16" ht="13.2" customHeight="1" x14ac:dyDescent="0.25">
      <c r="A283" s="37">
        <v>281</v>
      </c>
      <c r="B283" s="38" t="s">
        <v>9195</v>
      </c>
      <c r="C283" s="38"/>
      <c r="D283" s="38" t="s">
        <v>119</v>
      </c>
      <c r="E283" s="38" t="s">
        <v>8688</v>
      </c>
      <c r="F283" s="38" t="s">
        <v>8689</v>
      </c>
      <c r="G283" s="38" t="s">
        <v>8690</v>
      </c>
      <c r="H283" s="38" t="s">
        <v>8691</v>
      </c>
      <c r="I283" s="37" t="s">
        <v>84</v>
      </c>
      <c r="J283" s="38" t="s">
        <v>9022</v>
      </c>
      <c r="K283" s="38"/>
      <c r="L283" s="39" t="s">
        <v>7621</v>
      </c>
      <c r="M283" s="39" t="s">
        <v>29</v>
      </c>
      <c r="N283" s="38" t="s">
        <v>3887</v>
      </c>
      <c r="O283" s="39"/>
      <c r="P283" s="39"/>
    </row>
    <row r="284" spans="1:16" ht="13.2" customHeight="1" x14ac:dyDescent="0.25">
      <c r="A284" s="37">
        <v>282</v>
      </c>
      <c r="B284" s="38" t="s">
        <v>9196</v>
      </c>
      <c r="C284" s="38"/>
      <c r="D284" s="38" t="s">
        <v>8690</v>
      </c>
      <c r="E284" s="38" t="s">
        <v>8691</v>
      </c>
      <c r="F284" s="38" t="s">
        <v>8718</v>
      </c>
      <c r="G284" s="38" t="s">
        <v>8719</v>
      </c>
      <c r="H284" s="38" t="s">
        <v>8703</v>
      </c>
      <c r="I284" s="37" t="s">
        <v>84</v>
      </c>
      <c r="J284" s="38" t="s">
        <v>9197</v>
      </c>
      <c r="K284" s="38"/>
      <c r="L284" s="39" t="s">
        <v>7621</v>
      </c>
      <c r="M284" s="39" t="s">
        <v>29</v>
      </c>
      <c r="N284" s="38" t="s">
        <v>1669</v>
      </c>
      <c r="O284" s="39"/>
      <c r="P284" s="39"/>
    </row>
    <row r="285" spans="1:16" ht="13.2" customHeight="1" x14ac:dyDescent="0.25">
      <c r="A285" s="37">
        <v>283</v>
      </c>
      <c r="B285" s="38" t="s">
        <v>9198</v>
      </c>
      <c r="C285" s="38"/>
      <c r="D285" s="38" t="s">
        <v>8719</v>
      </c>
      <c r="E285" s="38" t="s">
        <v>8703</v>
      </c>
      <c r="F285" s="38" t="s">
        <v>8476</v>
      </c>
      <c r="G285" s="38" t="s">
        <v>8477</v>
      </c>
      <c r="H285" s="38" t="s">
        <v>8177</v>
      </c>
      <c r="I285" s="37" t="s">
        <v>90</v>
      </c>
      <c r="J285" s="38" t="s">
        <v>9199</v>
      </c>
      <c r="K285" s="38"/>
      <c r="L285" s="39" t="s">
        <v>7671</v>
      </c>
      <c r="M285" s="39" t="s">
        <v>29</v>
      </c>
      <c r="N285" s="38" t="s">
        <v>7575</v>
      </c>
      <c r="O285" s="39"/>
      <c r="P285" s="39"/>
    </row>
    <row r="286" spans="1:16" ht="13.2" customHeight="1" x14ac:dyDescent="0.25">
      <c r="A286" s="37">
        <v>284</v>
      </c>
      <c r="B286" s="38" t="s">
        <v>9200</v>
      </c>
      <c r="C286" s="38"/>
      <c r="D286" s="38" t="s">
        <v>8477</v>
      </c>
      <c r="E286" s="38" t="s">
        <v>8177</v>
      </c>
      <c r="F286" s="38" t="s">
        <v>8478</v>
      </c>
      <c r="G286" s="38" t="s">
        <v>8479</v>
      </c>
      <c r="H286" s="38" t="s">
        <v>119</v>
      </c>
      <c r="I286" s="37" t="s">
        <v>96</v>
      </c>
      <c r="J286" s="38" t="s">
        <v>9201</v>
      </c>
      <c r="K286" s="38"/>
      <c r="L286" s="39" t="s">
        <v>7621</v>
      </c>
      <c r="M286" s="39" t="s">
        <v>29</v>
      </c>
      <c r="N286" s="38" t="s">
        <v>1669</v>
      </c>
      <c r="O286" s="39"/>
      <c r="P286" s="39"/>
    </row>
    <row r="287" spans="1:16" ht="13.2" customHeight="1" x14ac:dyDescent="0.25">
      <c r="A287" s="37">
        <v>285</v>
      </c>
      <c r="B287" s="38" t="s">
        <v>9202</v>
      </c>
      <c r="C287" s="38"/>
      <c r="D287" s="38" t="s">
        <v>8479</v>
      </c>
      <c r="E287" s="38" t="s">
        <v>119</v>
      </c>
      <c r="F287" s="38" t="s">
        <v>8688</v>
      </c>
      <c r="G287" s="38" t="s">
        <v>8689</v>
      </c>
      <c r="H287" s="38" t="s">
        <v>8690</v>
      </c>
      <c r="I287" s="37" t="s">
        <v>96</v>
      </c>
      <c r="J287" s="38" t="s">
        <v>9203</v>
      </c>
      <c r="K287" s="38"/>
      <c r="L287" s="39" t="s">
        <v>7856</v>
      </c>
      <c r="M287" s="39" t="s">
        <v>29</v>
      </c>
      <c r="N287" s="38" t="s">
        <v>1669</v>
      </c>
      <c r="O287" s="39"/>
      <c r="P287" s="39"/>
    </row>
    <row r="288" spans="1:16" ht="13.2" customHeight="1" x14ac:dyDescent="0.25">
      <c r="A288" s="37">
        <v>286</v>
      </c>
      <c r="B288" s="38" t="s">
        <v>9204</v>
      </c>
      <c r="C288" s="38"/>
      <c r="D288" s="38" t="s">
        <v>8718</v>
      </c>
      <c r="E288" s="38" t="s">
        <v>8719</v>
      </c>
      <c r="F288" s="38" t="s">
        <v>8703</v>
      </c>
      <c r="G288" s="38" t="s">
        <v>8476</v>
      </c>
      <c r="H288" s="38" t="s">
        <v>8477</v>
      </c>
      <c r="I288" s="37" t="s">
        <v>84</v>
      </c>
      <c r="J288" s="38" t="s">
        <v>9205</v>
      </c>
      <c r="K288" s="38"/>
      <c r="L288" s="39" t="s">
        <v>516</v>
      </c>
      <c r="M288" s="39" t="s">
        <v>29</v>
      </c>
      <c r="N288" s="38" t="s">
        <v>3936</v>
      </c>
      <c r="O288" s="39"/>
      <c r="P288" s="39"/>
    </row>
    <row r="289" spans="1:16" ht="13.2" customHeight="1" x14ac:dyDescent="0.25">
      <c r="A289" s="37">
        <v>287</v>
      </c>
      <c r="B289" s="38" t="s">
        <v>9206</v>
      </c>
      <c r="C289" s="38"/>
      <c r="D289" s="38" t="s">
        <v>8476</v>
      </c>
      <c r="E289" s="38" t="s">
        <v>8477</v>
      </c>
      <c r="F289" s="38" t="s">
        <v>8177</v>
      </c>
      <c r="G289" s="38" t="s">
        <v>8478</v>
      </c>
      <c r="H289" s="38" t="s">
        <v>8479</v>
      </c>
      <c r="I289" s="37" t="s">
        <v>84</v>
      </c>
      <c r="J289" s="38" t="s">
        <v>9007</v>
      </c>
      <c r="K289" s="38"/>
      <c r="L289" s="39" t="s">
        <v>516</v>
      </c>
      <c r="M289" s="39" t="s">
        <v>29</v>
      </c>
      <c r="N289" s="38" t="s">
        <v>3900</v>
      </c>
      <c r="O289" s="39"/>
      <c r="P289" s="39"/>
    </row>
    <row r="290" spans="1:16" ht="13.2" customHeight="1" x14ac:dyDescent="0.25">
      <c r="A290" s="37">
        <v>288</v>
      </c>
      <c r="B290" s="38" t="s">
        <v>9207</v>
      </c>
      <c r="C290" s="38"/>
      <c r="D290" s="38" t="s">
        <v>8478</v>
      </c>
      <c r="E290" s="38" t="s">
        <v>8479</v>
      </c>
      <c r="F290" s="38" t="s">
        <v>119</v>
      </c>
      <c r="G290" s="38" t="s">
        <v>8688</v>
      </c>
      <c r="H290" s="38" t="s">
        <v>8689</v>
      </c>
      <c r="I290" s="37" t="s">
        <v>84</v>
      </c>
      <c r="J290" s="38" t="s">
        <v>9208</v>
      </c>
      <c r="K290" s="38"/>
      <c r="L290" s="39" t="s">
        <v>516</v>
      </c>
      <c r="M290" s="39" t="s">
        <v>29</v>
      </c>
      <c r="N290" s="38" t="s">
        <v>2655</v>
      </c>
      <c r="O290" s="39"/>
      <c r="P290" s="39"/>
    </row>
    <row r="291" spans="1:16" ht="13.2" customHeight="1" x14ac:dyDescent="0.25">
      <c r="A291" s="37">
        <v>289</v>
      </c>
      <c r="B291" s="38" t="s">
        <v>9209</v>
      </c>
      <c r="C291" s="38"/>
      <c r="D291" s="38" t="s">
        <v>8688</v>
      </c>
      <c r="E291" s="38" t="s">
        <v>8689</v>
      </c>
      <c r="F291" s="38" t="s">
        <v>8690</v>
      </c>
      <c r="G291" s="38" t="s">
        <v>8691</v>
      </c>
      <c r="H291" s="38" t="s">
        <v>8718</v>
      </c>
      <c r="I291" s="37" t="s">
        <v>84</v>
      </c>
      <c r="J291" s="38" t="s">
        <v>9210</v>
      </c>
      <c r="K291" s="38"/>
      <c r="L291" s="39" t="s">
        <v>516</v>
      </c>
      <c r="M291" s="39" t="s">
        <v>29</v>
      </c>
      <c r="N291" s="38" t="s">
        <v>3887</v>
      </c>
      <c r="O291" s="39"/>
      <c r="P291" s="39"/>
    </row>
    <row r="292" spans="1:16" ht="13.2" customHeight="1" x14ac:dyDescent="0.25">
      <c r="A292" s="37">
        <v>290</v>
      </c>
      <c r="B292" s="38" t="s">
        <v>9211</v>
      </c>
      <c r="C292" s="38"/>
      <c r="D292" s="38" t="s">
        <v>8691</v>
      </c>
      <c r="E292" s="38" t="s">
        <v>8718</v>
      </c>
      <c r="F292" s="38" t="s">
        <v>8719</v>
      </c>
      <c r="G292" s="38" t="s">
        <v>8703</v>
      </c>
      <c r="H292" s="38" t="s">
        <v>8476</v>
      </c>
      <c r="I292" s="37" t="s">
        <v>84</v>
      </c>
      <c r="J292" s="38" t="s">
        <v>9015</v>
      </c>
      <c r="K292" s="38"/>
      <c r="L292" s="39" t="s">
        <v>516</v>
      </c>
      <c r="M292" s="39" t="s">
        <v>29</v>
      </c>
      <c r="N292" s="38" t="s">
        <v>1669</v>
      </c>
      <c r="O292" s="39"/>
      <c r="P292" s="39"/>
    </row>
    <row r="293" spans="1:16" ht="13.2" customHeight="1" x14ac:dyDescent="0.25">
      <c r="A293" s="37">
        <v>291</v>
      </c>
      <c r="B293" s="38" t="s">
        <v>9212</v>
      </c>
      <c r="C293" s="38"/>
      <c r="D293" s="38" t="s">
        <v>8703</v>
      </c>
      <c r="E293" s="38" t="s">
        <v>8476</v>
      </c>
      <c r="F293" s="38" t="s">
        <v>8477</v>
      </c>
      <c r="G293" s="38" t="s">
        <v>8177</v>
      </c>
      <c r="H293" s="38" t="s">
        <v>8478</v>
      </c>
      <c r="I293" s="37" t="s">
        <v>84</v>
      </c>
      <c r="J293" s="38" t="s">
        <v>9190</v>
      </c>
      <c r="K293" s="38"/>
      <c r="L293" s="39" t="s">
        <v>7630</v>
      </c>
      <c r="M293" s="39" t="s">
        <v>29</v>
      </c>
      <c r="N293" s="38" t="s">
        <v>3936</v>
      </c>
      <c r="O293" s="39"/>
      <c r="P293" s="39"/>
    </row>
    <row r="294" spans="1:16" ht="13.2" customHeight="1" x14ac:dyDescent="0.25">
      <c r="A294" s="37">
        <v>292</v>
      </c>
      <c r="B294" s="38" t="s">
        <v>9213</v>
      </c>
      <c r="C294" s="38"/>
      <c r="D294" s="38" t="s">
        <v>8177</v>
      </c>
      <c r="E294" s="38" t="s">
        <v>8478</v>
      </c>
      <c r="F294" s="38" t="s">
        <v>8479</v>
      </c>
      <c r="G294" s="38" t="s">
        <v>119</v>
      </c>
      <c r="H294" s="38" t="s">
        <v>8688</v>
      </c>
      <c r="I294" s="37" t="s">
        <v>84</v>
      </c>
      <c r="J294" s="38" t="s">
        <v>9214</v>
      </c>
      <c r="K294" s="38"/>
      <c r="L294" s="39" t="s">
        <v>7671</v>
      </c>
      <c r="M294" s="39" t="s">
        <v>29</v>
      </c>
      <c r="N294" s="38" t="s">
        <v>9215</v>
      </c>
      <c r="O294" s="39"/>
      <c r="P294" s="39"/>
    </row>
    <row r="295" spans="1:16" ht="13.2" customHeight="1" x14ac:dyDescent="0.25">
      <c r="A295" s="37">
        <v>293</v>
      </c>
      <c r="B295" s="38" t="s">
        <v>9216</v>
      </c>
      <c r="C295" s="38"/>
      <c r="D295" s="38" t="s">
        <v>119</v>
      </c>
      <c r="E295" s="38" t="s">
        <v>8688</v>
      </c>
      <c r="F295" s="38" t="s">
        <v>8689</v>
      </c>
      <c r="G295" s="38" t="s">
        <v>8690</v>
      </c>
      <c r="H295" s="38" t="s">
        <v>8691</v>
      </c>
      <c r="I295" s="37" t="s">
        <v>84</v>
      </c>
      <c r="J295" s="38" t="s">
        <v>9022</v>
      </c>
      <c r="K295" s="38"/>
      <c r="L295" s="39" t="s">
        <v>7621</v>
      </c>
      <c r="M295" s="39" t="s">
        <v>29</v>
      </c>
      <c r="N295" s="38" t="s">
        <v>3951</v>
      </c>
      <c r="O295" s="39"/>
      <c r="P295" s="39"/>
    </row>
    <row r="296" spans="1:16" ht="13.2" customHeight="1" x14ac:dyDescent="0.25">
      <c r="A296" s="37">
        <v>294</v>
      </c>
      <c r="B296" s="38" t="s">
        <v>9217</v>
      </c>
      <c r="C296" s="38"/>
      <c r="D296" s="38" t="s">
        <v>8690</v>
      </c>
      <c r="E296" s="38" t="s">
        <v>8691</v>
      </c>
      <c r="F296" s="38" t="s">
        <v>8718</v>
      </c>
      <c r="G296" s="38" t="s">
        <v>8719</v>
      </c>
      <c r="H296" s="38" t="s">
        <v>8703</v>
      </c>
      <c r="I296" s="37" t="s">
        <v>84</v>
      </c>
      <c r="J296" s="38" t="s">
        <v>9197</v>
      </c>
      <c r="K296" s="38"/>
      <c r="L296" s="39" t="s">
        <v>7621</v>
      </c>
      <c r="M296" s="39" t="s">
        <v>29</v>
      </c>
      <c r="N296" s="38" t="s">
        <v>7564</v>
      </c>
      <c r="O296" s="39"/>
      <c r="P296" s="39"/>
    </row>
    <row r="297" spans="1:16" ht="13.2" customHeight="1" x14ac:dyDescent="0.25">
      <c r="A297" s="37">
        <v>295</v>
      </c>
      <c r="B297" s="38" t="s">
        <v>9218</v>
      </c>
      <c r="C297" s="38"/>
      <c r="D297" s="38" t="s">
        <v>8719</v>
      </c>
      <c r="E297" s="38" t="s">
        <v>8703</v>
      </c>
      <c r="F297" s="38" t="s">
        <v>8476</v>
      </c>
      <c r="G297" s="38" t="s">
        <v>8477</v>
      </c>
      <c r="H297" s="38" t="s">
        <v>8177</v>
      </c>
      <c r="I297" s="37" t="s">
        <v>123</v>
      </c>
      <c r="J297" s="38" t="s">
        <v>9219</v>
      </c>
      <c r="K297" s="38"/>
      <c r="L297" s="39" t="s">
        <v>7621</v>
      </c>
      <c r="M297" s="39" t="s">
        <v>29</v>
      </c>
      <c r="N297" s="38" t="s">
        <v>1669</v>
      </c>
      <c r="O297" s="39"/>
      <c r="P297" s="39"/>
    </row>
    <row r="298" spans="1:16" ht="13.2" customHeight="1" x14ac:dyDescent="0.25">
      <c r="A298" s="37">
        <v>296</v>
      </c>
      <c r="B298" s="38" t="s">
        <v>9220</v>
      </c>
      <c r="C298" s="38"/>
      <c r="D298" s="38" t="s">
        <v>8477</v>
      </c>
      <c r="E298" s="38" t="s">
        <v>8177</v>
      </c>
      <c r="F298" s="38" t="s">
        <v>8478</v>
      </c>
      <c r="G298" s="38" t="s">
        <v>8479</v>
      </c>
      <c r="H298" s="38" t="s">
        <v>119</v>
      </c>
      <c r="I298" s="37" t="s">
        <v>84</v>
      </c>
      <c r="J298" s="38" t="s">
        <v>9028</v>
      </c>
      <c r="K298" s="38"/>
      <c r="L298" s="39" t="s">
        <v>7671</v>
      </c>
      <c r="M298" s="39" t="s">
        <v>29</v>
      </c>
      <c r="N298" s="38" t="s">
        <v>1669</v>
      </c>
      <c r="O298" s="39"/>
      <c r="P298" s="39"/>
    </row>
    <row r="299" spans="1:16" ht="13.2" customHeight="1" x14ac:dyDescent="0.25">
      <c r="A299" s="37">
        <v>297</v>
      </c>
      <c r="B299" s="38" t="s">
        <v>9221</v>
      </c>
      <c r="C299" s="38"/>
      <c r="D299" s="38" t="s">
        <v>8479</v>
      </c>
      <c r="E299" s="38" t="s">
        <v>119</v>
      </c>
      <c r="F299" s="38" t="s">
        <v>8688</v>
      </c>
      <c r="G299" s="38" t="s">
        <v>8689</v>
      </c>
      <c r="H299" s="38" t="s">
        <v>8690</v>
      </c>
      <c r="I299" s="37" t="s">
        <v>84</v>
      </c>
      <c r="J299" s="38" t="s">
        <v>9222</v>
      </c>
      <c r="K299" s="38"/>
      <c r="L299" s="39" t="s">
        <v>7671</v>
      </c>
      <c r="M299" s="39" t="s">
        <v>29</v>
      </c>
      <c r="N299" s="38" t="s">
        <v>3936</v>
      </c>
      <c r="O299" s="39"/>
      <c r="P299" s="39"/>
    </row>
    <row r="300" spans="1:16" ht="13.2" customHeight="1" x14ac:dyDescent="0.25">
      <c r="A300" s="37">
        <v>298</v>
      </c>
      <c r="B300" s="38" t="s">
        <v>9223</v>
      </c>
      <c r="C300" s="38"/>
      <c r="D300" s="38" t="s">
        <v>8689</v>
      </c>
      <c r="E300" s="38" t="s">
        <v>8690</v>
      </c>
      <c r="F300" s="38" t="s">
        <v>8691</v>
      </c>
      <c r="G300" s="38" t="s">
        <v>8718</v>
      </c>
      <c r="H300" s="38" t="s">
        <v>8719</v>
      </c>
      <c r="I300" s="37" t="s">
        <v>84</v>
      </c>
      <c r="J300" s="38" t="s">
        <v>9176</v>
      </c>
      <c r="K300" s="38"/>
      <c r="L300" s="39" t="s">
        <v>7621</v>
      </c>
      <c r="M300" s="39" t="s">
        <v>29</v>
      </c>
      <c r="N300" s="38" t="s">
        <v>3887</v>
      </c>
      <c r="O300" s="39"/>
      <c r="P300" s="39"/>
    </row>
    <row r="301" spans="1:16" ht="13.2" customHeight="1" x14ac:dyDescent="0.25">
      <c r="A301" s="37">
        <v>299</v>
      </c>
      <c r="B301" s="38" t="s">
        <v>9224</v>
      </c>
      <c r="C301" s="38"/>
      <c r="D301" s="38" t="s">
        <v>8718</v>
      </c>
      <c r="E301" s="38" t="s">
        <v>8719</v>
      </c>
      <c r="F301" s="38" t="s">
        <v>8703</v>
      </c>
      <c r="G301" s="38" t="s">
        <v>8476</v>
      </c>
      <c r="H301" s="38" t="s">
        <v>8477</v>
      </c>
      <c r="I301" s="37" t="s">
        <v>84</v>
      </c>
      <c r="J301" s="38" t="s">
        <v>9225</v>
      </c>
      <c r="K301" s="38"/>
      <c r="L301" s="39" t="s">
        <v>7621</v>
      </c>
      <c r="M301" s="39" t="s">
        <v>29</v>
      </c>
      <c r="N301" s="38" t="s">
        <v>1669</v>
      </c>
      <c r="O301" s="39"/>
      <c r="P301" s="39"/>
    </row>
    <row r="302" spans="1:16" ht="13.2" customHeight="1" x14ac:dyDescent="0.25">
      <c r="A302" s="37">
        <v>300</v>
      </c>
      <c r="B302" s="38" t="s">
        <v>9226</v>
      </c>
      <c r="C302" s="38"/>
      <c r="D302" s="38" t="s">
        <v>8476</v>
      </c>
      <c r="E302" s="38" t="s">
        <v>8477</v>
      </c>
      <c r="F302" s="38" t="s">
        <v>8177</v>
      </c>
      <c r="G302" s="38" t="s">
        <v>8478</v>
      </c>
      <c r="H302" s="38" t="s">
        <v>8479</v>
      </c>
      <c r="I302" s="37" t="s">
        <v>84</v>
      </c>
      <c r="J302" s="38" t="s">
        <v>9079</v>
      </c>
      <c r="K302" s="38"/>
      <c r="L302" s="39" t="s">
        <v>7621</v>
      </c>
      <c r="M302" s="39" t="s">
        <v>29</v>
      </c>
      <c r="N302" s="38" t="s">
        <v>3936</v>
      </c>
      <c r="O302" s="39"/>
      <c r="P302" s="39"/>
    </row>
    <row r="303" spans="1:16" ht="13.2" customHeight="1" x14ac:dyDescent="0.25">
      <c r="A303" s="37">
        <v>301</v>
      </c>
      <c r="B303" s="38" t="s">
        <v>9227</v>
      </c>
      <c r="C303" s="38"/>
      <c r="D303" s="38" t="s">
        <v>8478</v>
      </c>
      <c r="E303" s="38" t="s">
        <v>8479</v>
      </c>
      <c r="F303" s="38" t="s">
        <v>119</v>
      </c>
      <c r="G303" s="38" t="s">
        <v>8688</v>
      </c>
      <c r="H303" s="38" t="s">
        <v>8689</v>
      </c>
      <c r="I303" s="37" t="s">
        <v>84</v>
      </c>
      <c r="J303" s="38" t="s">
        <v>9178</v>
      </c>
      <c r="K303" s="38"/>
      <c r="L303" s="39" t="s">
        <v>7621</v>
      </c>
      <c r="M303" s="39" t="s">
        <v>29</v>
      </c>
      <c r="N303" s="38" t="s">
        <v>3936</v>
      </c>
      <c r="O303" s="39"/>
      <c r="P303" s="39"/>
    </row>
    <row r="304" spans="1:16" ht="13.2" customHeight="1" x14ac:dyDescent="0.25">
      <c r="A304" s="37">
        <v>302</v>
      </c>
      <c r="B304" s="38" t="s">
        <v>9228</v>
      </c>
      <c r="C304" s="38"/>
      <c r="D304" s="38" t="s">
        <v>8688</v>
      </c>
      <c r="E304" s="38" t="s">
        <v>8689</v>
      </c>
      <c r="F304" s="38" t="s">
        <v>8690</v>
      </c>
      <c r="G304" s="38" t="s">
        <v>8691</v>
      </c>
      <c r="H304" s="38" t="s">
        <v>8718</v>
      </c>
      <c r="I304" s="37" t="s">
        <v>84</v>
      </c>
      <c r="J304" s="38" t="s">
        <v>9084</v>
      </c>
      <c r="K304" s="38"/>
      <c r="L304" s="39" t="s">
        <v>7621</v>
      </c>
      <c r="M304" s="39" t="s">
        <v>29</v>
      </c>
      <c r="N304" s="38" t="s">
        <v>3900</v>
      </c>
      <c r="O304" s="39"/>
      <c r="P304" s="39"/>
    </row>
    <row r="305" spans="1:16" ht="13.2" customHeight="1" x14ac:dyDescent="0.25">
      <c r="A305" s="37">
        <v>303</v>
      </c>
      <c r="B305" s="38" t="s">
        <v>9229</v>
      </c>
      <c r="C305" s="38"/>
      <c r="D305" s="38" t="s">
        <v>8691</v>
      </c>
      <c r="E305" s="38" t="s">
        <v>8718</v>
      </c>
      <c r="F305" s="38" t="s">
        <v>8719</v>
      </c>
      <c r="G305" s="38" t="s">
        <v>8703</v>
      </c>
      <c r="H305" s="38" t="s">
        <v>8476</v>
      </c>
      <c r="I305" s="37" t="s">
        <v>84</v>
      </c>
      <c r="J305" s="38" t="s">
        <v>9230</v>
      </c>
      <c r="K305" s="38"/>
      <c r="L305" s="39" t="s">
        <v>516</v>
      </c>
      <c r="M305" s="39" t="s">
        <v>29</v>
      </c>
      <c r="N305" s="38" t="s">
        <v>3936</v>
      </c>
      <c r="O305" s="39"/>
      <c r="P305" s="39"/>
    </row>
    <row r="306" spans="1:16" ht="13.2" customHeight="1" x14ac:dyDescent="0.25">
      <c r="A306" s="37">
        <v>304</v>
      </c>
      <c r="B306" s="38" t="s">
        <v>9231</v>
      </c>
      <c r="C306" s="38"/>
      <c r="D306" s="38" t="s">
        <v>8703</v>
      </c>
      <c r="E306" s="38" t="s">
        <v>8476</v>
      </c>
      <c r="F306" s="38" t="s">
        <v>8477</v>
      </c>
      <c r="G306" s="38" t="s">
        <v>8177</v>
      </c>
      <c r="H306" s="38" t="s">
        <v>8478</v>
      </c>
      <c r="I306" s="37" t="s">
        <v>84</v>
      </c>
      <c r="J306" s="38" t="s">
        <v>9017</v>
      </c>
      <c r="K306" s="38"/>
      <c r="L306" s="39" t="s">
        <v>7621</v>
      </c>
      <c r="M306" s="39" t="s">
        <v>29</v>
      </c>
      <c r="N306" s="38" t="s">
        <v>2655</v>
      </c>
      <c r="O306" s="39"/>
      <c r="P306" s="39"/>
    </row>
    <row r="307" spans="1:16" ht="13.2" customHeight="1" x14ac:dyDescent="0.25">
      <c r="A307" s="37">
        <v>305</v>
      </c>
      <c r="B307" s="38" t="s">
        <v>9232</v>
      </c>
      <c r="C307" s="38"/>
      <c r="D307" s="38" t="s">
        <v>8177</v>
      </c>
      <c r="E307" s="38" t="s">
        <v>8478</v>
      </c>
      <c r="F307" s="38" t="s">
        <v>8479</v>
      </c>
      <c r="G307" s="38" t="s">
        <v>119</v>
      </c>
      <c r="H307" s="38" t="s">
        <v>8688</v>
      </c>
      <c r="I307" s="37" t="s">
        <v>84</v>
      </c>
      <c r="J307" s="38" t="s">
        <v>9019</v>
      </c>
      <c r="K307" s="38"/>
      <c r="L307" s="39" t="s">
        <v>7621</v>
      </c>
      <c r="M307" s="39" t="s">
        <v>29</v>
      </c>
      <c r="N307" s="38" t="s">
        <v>3936</v>
      </c>
      <c r="O307" s="39"/>
      <c r="P307" s="39"/>
    </row>
    <row r="308" spans="1:16" ht="13.2" customHeight="1" x14ac:dyDescent="0.25">
      <c r="A308" s="37">
        <v>306</v>
      </c>
      <c r="B308" s="38" t="s">
        <v>9233</v>
      </c>
      <c r="C308" s="38"/>
      <c r="D308" s="38" t="s">
        <v>9234</v>
      </c>
      <c r="E308" s="38" t="s">
        <v>9235</v>
      </c>
      <c r="F308" s="38" t="s">
        <v>9236</v>
      </c>
      <c r="G308" s="38" t="s">
        <v>9237</v>
      </c>
      <c r="H308" s="38" t="s">
        <v>9238</v>
      </c>
      <c r="I308" s="37" t="s">
        <v>84</v>
      </c>
      <c r="J308" s="38" t="s">
        <v>9239</v>
      </c>
      <c r="K308" s="38"/>
      <c r="L308" s="39" t="s">
        <v>7621</v>
      </c>
      <c r="M308" s="39" t="s">
        <v>29</v>
      </c>
      <c r="N308" s="38" t="s">
        <v>9240</v>
      </c>
      <c r="O308" s="39"/>
      <c r="P308" s="39"/>
    </row>
    <row r="309" spans="1:16" ht="13.2" customHeight="1" x14ac:dyDescent="0.25">
      <c r="A309" s="42">
        <v>307</v>
      </c>
      <c r="B309" s="38" t="s">
        <v>9241</v>
      </c>
      <c r="C309" s="38"/>
      <c r="D309" s="38" t="s">
        <v>9242</v>
      </c>
      <c r="E309" s="38" t="s">
        <v>9243</v>
      </c>
      <c r="F309" s="38" t="s">
        <v>9244</v>
      </c>
      <c r="G309" s="38" t="s">
        <v>9245</v>
      </c>
      <c r="H309" s="38" t="s">
        <v>9246</v>
      </c>
      <c r="I309" s="37" t="s">
        <v>90</v>
      </c>
      <c r="J309" s="38" t="s">
        <v>9247</v>
      </c>
      <c r="K309" s="38"/>
      <c r="L309" s="39" t="s">
        <v>7856</v>
      </c>
      <c r="M309" s="39" t="s">
        <v>29</v>
      </c>
      <c r="N309" s="38" t="s">
        <v>9248</v>
      </c>
      <c r="O309" s="39"/>
      <c r="P309" s="39"/>
    </row>
    <row r="310" spans="1:16" ht="13.2" customHeight="1" x14ac:dyDescent="0.25">
      <c r="A310" s="42">
        <v>308</v>
      </c>
      <c r="B310" s="38" t="s">
        <v>9249</v>
      </c>
      <c r="C310" s="38"/>
      <c r="D310" s="38" t="s">
        <v>9250</v>
      </c>
      <c r="E310" s="38" t="s">
        <v>9251</v>
      </c>
      <c r="F310" s="38" t="s">
        <v>9252</v>
      </c>
      <c r="G310" s="38" t="s">
        <v>9253</v>
      </c>
      <c r="H310" s="38" t="s">
        <v>9254</v>
      </c>
      <c r="I310" s="37" t="s">
        <v>90</v>
      </c>
      <c r="J310" s="38" t="s">
        <v>9255</v>
      </c>
      <c r="K310" s="38"/>
      <c r="L310" s="39" t="s">
        <v>7856</v>
      </c>
      <c r="M310" s="39" t="s">
        <v>29</v>
      </c>
      <c r="N310" s="38" t="s">
        <v>9256</v>
      </c>
      <c r="O310" s="39"/>
      <c r="P310" s="39"/>
    </row>
    <row r="311" spans="1:16" ht="13.2" customHeight="1" x14ac:dyDescent="0.25">
      <c r="A311" s="42">
        <v>309</v>
      </c>
      <c r="B311" s="38" t="s">
        <v>9257</v>
      </c>
      <c r="C311" s="38"/>
      <c r="D311" s="38" t="s">
        <v>9258</v>
      </c>
      <c r="E311" s="38" t="s">
        <v>9259</v>
      </c>
      <c r="F311" s="38" t="s">
        <v>9260</v>
      </c>
      <c r="G311" s="38" t="s">
        <v>9261</v>
      </c>
      <c r="H311" s="38" t="s">
        <v>9262</v>
      </c>
      <c r="I311" s="37" t="s">
        <v>90</v>
      </c>
      <c r="J311" s="38" t="s">
        <v>9263</v>
      </c>
      <c r="K311" s="38"/>
      <c r="L311" s="39" t="s">
        <v>7856</v>
      </c>
      <c r="M311" s="39" t="s">
        <v>29</v>
      </c>
      <c r="N311" s="38" t="s">
        <v>9264</v>
      </c>
      <c r="O311" s="39"/>
      <c r="P311" s="39"/>
    </row>
    <row r="312" spans="1:16" ht="13.2" customHeight="1" x14ac:dyDescent="0.25">
      <c r="A312" s="42">
        <v>310</v>
      </c>
      <c r="B312" s="38" t="s">
        <v>9265</v>
      </c>
      <c r="C312" s="38"/>
      <c r="D312" s="38" t="s">
        <v>9266</v>
      </c>
      <c r="E312" s="38" t="s">
        <v>9267</v>
      </c>
      <c r="F312" s="38" t="s">
        <v>9268</v>
      </c>
      <c r="G312" s="38" t="s">
        <v>9269</v>
      </c>
      <c r="H312" s="38" t="s">
        <v>9270</v>
      </c>
      <c r="I312" s="37" t="s">
        <v>96</v>
      </c>
      <c r="J312" s="38" t="s">
        <v>9271</v>
      </c>
      <c r="K312" s="38"/>
      <c r="L312" s="39" t="s">
        <v>9272</v>
      </c>
      <c r="M312" s="39" t="s">
        <v>29</v>
      </c>
      <c r="N312" s="38" t="s">
        <v>9273</v>
      </c>
      <c r="O312" s="39"/>
      <c r="P312" s="39"/>
    </row>
    <row r="313" spans="1:16" ht="13.2" x14ac:dyDescent="0.25">
      <c r="A313">
        <v>311</v>
      </c>
      <c r="B313" t="s">
        <v>9274</v>
      </c>
      <c r="D313" t="s">
        <v>9275</v>
      </c>
      <c r="E313" t="s">
        <v>9276</v>
      </c>
      <c r="F313" t="s">
        <v>9277</v>
      </c>
      <c r="G313" t="s">
        <v>9278</v>
      </c>
      <c r="H313" t="s">
        <v>9279</v>
      </c>
      <c r="I313" t="s">
        <v>84</v>
      </c>
      <c r="J313" t="s">
        <v>9280</v>
      </c>
      <c r="L313" t="s">
        <v>1645</v>
      </c>
      <c r="M313" t="s">
        <v>29</v>
      </c>
      <c r="N313" t="s">
        <v>9281</v>
      </c>
    </row>
    <row r="314" spans="1:16" ht="13.2" x14ac:dyDescent="0.25">
      <c r="A314">
        <v>312</v>
      </c>
      <c r="B314" t="s">
        <v>9282</v>
      </c>
      <c r="D314" t="s">
        <v>9283</v>
      </c>
      <c r="E314" t="s">
        <v>9284</v>
      </c>
      <c r="F314" t="s">
        <v>9285</v>
      </c>
      <c r="G314" t="s">
        <v>9286</v>
      </c>
      <c r="H314" t="s">
        <v>9287</v>
      </c>
      <c r="I314" t="s">
        <v>84</v>
      </c>
      <c r="J314" t="s">
        <v>9288</v>
      </c>
      <c r="L314" t="s">
        <v>1645</v>
      </c>
      <c r="M314" t="s">
        <v>29</v>
      </c>
      <c r="N314" t="s">
        <v>9289</v>
      </c>
    </row>
    <row r="315" spans="1:16" ht="13.2" x14ac:dyDescent="0.25">
      <c r="A315">
        <v>313</v>
      </c>
      <c r="B315" t="s">
        <v>9290</v>
      </c>
      <c r="D315" t="s">
        <v>5514</v>
      </c>
      <c r="E315" t="s">
        <v>5512</v>
      </c>
      <c r="F315" t="s">
        <v>5518</v>
      </c>
      <c r="G315" t="s">
        <v>5513</v>
      </c>
      <c r="H315" t="s">
        <v>9291</v>
      </c>
      <c r="I315" t="s">
        <v>84</v>
      </c>
      <c r="J315" t="s">
        <v>9292</v>
      </c>
      <c r="L315" t="s">
        <v>1645</v>
      </c>
      <c r="M315" t="s">
        <v>29</v>
      </c>
      <c r="N315" t="s">
        <v>1653</v>
      </c>
    </row>
    <row r="316" spans="1:16" ht="13.2" x14ac:dyDescent="0.25">
      <c r="A316">
        <v>314</v>
      </c>
      <c r="B316" t="s">
        <v>9293</v>
      </c>
      <c r="D316" t="s">
        <v>9294</v>
      </c>
      <c r="E316" t="s">
        <v>9295</v>
      </c>
      <c r="F316" t="s">
        <v>2377</v>
      </c>
      <c r="G316" t="s">
        <v>9296</v>
      </c>
      <c r="H316" t="s">
        <v>9297</v>
      </c>
      <c r="I316" t="s">
        <v>84</v>
      </c>
      <c r="J316" t="s">
        <v>9298</v>
      </c>
      <c r="L316" t="s">
        <v>1645</v>
      </c>
      <c r="M316" t="s">
        <v>29</v>
      </c>
      <c r="N316" t="s">
        <v>9299</v>
      </c>
    </row>
  </sheetData>
  <mergeCells count="1">
    <mergeCell ref="A1:F1"/>
  </mergeCells>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Q145"/>
  <sheetViews>
    <sheetView tabSelected="1" topLeftCell="D1" workbookViewId="0">
      <pane ySplit="2" topLeftCell="A122" activePane="bottomLeft" state="frozen"/>
      <selection pane="bottomLeft" activeCell="O143" sqref="O143"/>
    </sheetView>
  </sheetViews>
  <sheetFormatPr defaultColWidth="12.6640625" defaultRowHeight="15.75" customHeight="1" x14ac:dyDescent="0.25"/>
  <sheetData>
    <row r="1" spans="1:16" ht="34.950000000000003" customHeight="1" x14ac:dyDescent="0.25">
      <c r="A1" s="50"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37">
        <v>1</v>
      </c>
      <c r="B3" s="38" t="s">
        <v>9300</v>
      </c>
      <c r="C3" s="38"/>
      <c r="D3" s="38" t="s">
        <v>9301</v>
      </c>
      <c r="E3" s="38" t="s">
        <v>9302</v>
      </c>
      <c r="F3" s="38" t="s">
        <v>9303</v>
      </c>
      <c r="G3" s="38" t="s">
        <v>9304</v>
      </c>
      <c r="H3" s="38" t="s">
        <v>9305</v>
      </c>
      <c r="I3" s="37" t="s">
        <v>90</v>
      </c>
      <c r="J3" s="38" t="s">
        <v>9306</v>
      </c>
      <c r="K3" s="38"/>
      <c r="L3" s="39" t="s">
        <v>519</v>
      </c>
      <c r="M3" s="39" t="s">
        <v>29</v>
      </c>
      <c r="N3" s="38" t="s">
        <v>1685</v>
      </c>
      <c r="O3" s="39"/>
      <c r="P3" s="39"/>
    </row>
    <row r="4" spans="1:16" ht="13.2" customHeight="1" x14ac:dyDescent="0.25">
      <c r="A4" s="37">
        <v>2</v>
      </c>
      <c r="B4" s="38" t="s">
        <v>9307</v>
      </c>
      <c r="C4" s="38"/>
      <c r="D4" s="38" t="s">
        <v>9308</v>
      </c>
      <c r="E4" s="38" t="s">
        <v>5489</v>
      </c>
      <c r="F4" s="38" t="s">
        <v>9309</v>
      </c>
      <c r="G4" s="38" t="s">
        <v>9310</v>
      </c>
      <c r="H4" s="38" t="s">
        <v>9311</v>
      </c>
      <c r="I4" s="37" t="s">
        <v>113</v>
      </c>
      <c r="J4" s="38" t="s">
        <v>9312</v>
      </c>
      <c r="K4" s="38"/>
      <c r="L4" s="39" t="s">
        <v>519</v>
      </c>
      <c r="M4" s="39" t="s">
        <v>29</v>
      </c>
      <c r="N4" s="38" t="s">
        <v>6456</v>
      </c>
      <c r="O4" s="39"/>
      <c r="P4" s="39"/>
    </row>
    <row r="5" spans="1:16" ht="13.2" customHeight="1" x14ac:dyDescent="0.25">
      <c r="A5" s="37">
        <v>3</v>
      </c>
      <c r="B5" s="38" t="s">
        <v>9313</v>
      </c>
      <c r="C5" s="38"/>
      <c r="D5" s="38" t="s">
        <v>9314</v>
      </c>
      <c r="E5" s="38" t="s">
        <v>9315</v>
      </c>
      <c r="F5" s="38" t="s">
        <v>9316</v>
      </c>
      <c r="G5" s="38" t="s">
        <v>9317</v>
      </c>
      <c r="H5" s="38" t="s">
        <v>531</v>
      </c>
      <c r="I5" s="37" t="s">
        <v>113</v>
      </c>
      <c r="J5" s="38" t="s">
        <v>9318</v>
      </c>
      <c r="K5" s="38"/>
      <c r="L5" s="39" t="s">
        <v>519</v>
      </c>
      <c r="M5" s="39" t="s">
        <v>29</v>
      </c>
      <c r="N5" s="38" t="s">
        <v>5240</v>
      </c>
      <c r="O5" s="39"/>
      <c r="P5" s="39"/>
    </row>
    <row r="6" spans="1:16" ht="13.2" customHeight="1" x14ac:dyDescent="0.25">
      <c r="A6" s="37">
        <v>4</v>
      </c>
      <c r="B6" s="38" t="s">
        <v>9319</v>
      </c>
      <c r="C6" s="38"/>
      <c r="D6" s="38" t="s">
        <v>5033</v>
      </c>
      <c r="E6" s="38" t="s">
        <v>9320</v>
      </c>
      <c r="F6" s="38" t="s">
        <v>9321</v>
      </c>
      <c r="G6" s="38" t="s">
        <v>9310</v>
      </c>
      <c r="H6" s="38" t="s">
        <v>9321</v>
      </c>
      <c r="I6" s="37" t="s">
        <v>96</v>
      </c>
      <c r="J6" s="38" t="s">
        <v>9322</v>
      </c>
      <c r="K6" s="38"/>
      <c r="L6" s="39" t="s">
        <v>519</v>
      </c>
      <c r="M6" s="39" t="s">
        <v>29</v>
      </c>
      <c r="N6" s="38" t="s">
        <v>9323</v>
      </c>
      <c r="O6" s="39"/>
      <c r="P6" s="39"/>
    </row>
    <row r="7" spans="1:16" ht="13.2" customHeight="1" x14ac:dyDescent="0.25">
      <c r="A7" s="37">
        <v>5</v>
      </c>
      <c r="B7" s="38" t="s">
        <v>9324</v>
      </c>
      <c r="C7" s="38"/>
      <c r="D7" s="38" t="s">
        <v>2968</v>
      </c>
      <c r="E7" s="38" t="s">
        <v>621</v>
      </c>
      <c r="F7" s="38" t="s">
        <v>9325</v>
      </c>
      <c r="G7" s="38" t="s">
        <v>331</v>
      </c>
      <c r="H7" s="38" t="s">
        <v>9326</v>
      </c>
      <c r="I7" s="37" t="s">
        <v>96</v>
      </c>
      <c r="J7" s="38" t="s">
        <v>9327</v>
      </c>
      <c r="K7" s="38"/>
      <c r="L7" s="39" t="s">
        <v>519</v>
      </c>
      <c r="M7" s="39" t="s">
        <v>29</v>
      </c>
      <c r="N7" s="38" t="s">
        <v>6478</v>
      </c>
      <c r="O7" s="39"/>
      <c r="P7" s="39"/>
    </row>
    <row r="8" spans="1:16" ht="13.2" customHeight="1" x14ac:dyDescent="0.25">
      <c r="A8" s="37">
        <v>6</v>
      </c>
      <c r="B8" s="38" t="s">
        <v>9328</v>
      </c>
      <c r="C8" s="38"/>
      <c r="D8" s="38" t="s">
        <v>9329</v>
      </c>
      <c r="E8" s="38" t="s">
        <v>9330</v>
      </c>
      <c r="F8" s="38" t="s">
        <v>9331</v>
      </c>
      <c r="G8" s="38" t="s">
        <v>9332</v>
      </c>
      <c r="H8" s="38" t="s">
        <v>1645</v>
      </c>
      <c r="I8" s="37" t="s">
        <v>84</v>
      </c>
      <c r="J8" s="38" t="s">
        <v>9333</v>
      </c>
      <c r="K8" s="38"/>
      <c r="L8" s="39" t="s">
        <v>2106</v>
      </c>
      <c r="M8" s="39" t="s">
        <v>29</v>
      </c>
      <c r="N8" s="38" t="s">
        <v>2759</v>
      </c>
      <c r="O8" s="39"/>
      <c r="P8" s="39"/>
    </row>
    <row r="9" spans="1:16" ht="13.2" customHeight="1" x14ac:dyDescent="0.25">
      <c r="A9" s="37">
        <v>7</v>
      </c>
      <c r="B9" s="38" t="s">
        <v>9334</v>
      </c>
      <c r="C9" s="38"/>
      <c r="D9" s="38" t="s">
        <v>9335</v>
      </c>
      <c r="E9" s="38" t="s">
        <v>9336</v>
      </c>
      <c r="F9" s="38" t="s">
        <v>3111</v>
      </c>
      <c r="G9" s="38" t="s">
        <v>158</v>
      </c>
      <c r="H9" s="38" t="s">
        <v>2452</v>
      </c>
      <c r="I9" s="37" t="s">
        <v>96</v>
      </c>
      <c r="J9" s="38" t="s">
        <v>9337</v>
      </c>
      <c r="K9" s="38"/>
      <c r="L9" s="39" t="s">
        <v>2106</v>
      </c>
      <c r="M9" s="39" t="s">
        <v>29</v>
      </c>
      <c r="N9" s="38" t="s">
        <v>5270</v>
      </c>
      <c r="O9" s="39"/>
      <c r="P9" s="39"/>
    </row>
    <row r="10" spans="1:16" ht="13.2" customHeight="1" x14ac:dyDescent="0.25">
      <c r="A10" s="37">
        <v>8</v>
      </c>
      <c r="B10" s="38" t="s">
        <v>9338</v>
      </c>
      <c r="C10" s="38"/>
      <c r="D10" s="38" t="s">
        <v>9339</v>
      </c>
      <c r="E10" s="38" t="s">
        <v>9340</v>
      </c>
      <c r="F10" s="38" t="s">
        <v>9341</v>
      </c>
      <c r="G10" s="38" t="s">
        <v>9342</v>
      </c>
      <c r="H10" s="38" t="s">
        <v>9343</v>
      </c>
      <c r="I10" s="37">
        <v>5</v>
      </c>
      <c r="J10" s="38" t="s">
        <v>9344</v>
      </c>
      <c r="K10" s="38"/>
      <c r="L10" s="39" t="s">
        <v>2106</v>
      </c>
      <c r="M10" s="39" t="s">
        <v>29</v>
      </c>
      <c r="N10" s="38" t="s">
        <v>6495</v>
      </c>
      <c r="O10" s="39"/>
      <c r="P10" s="39"/>
    </row>
    <row r="11" spans="1:16" ht="13.2" customHeight="1" x14ac:dyDescent="0.25">
      <c r="A11" s="37">
        <v>9</v>
      </c>
      <c r="B11" s="38" t="s">
        <v>9345</v>
      </c>
      <c r="C11" s="38"/>
      <c r="D11" s="38" t="s">
        <v>9346</v>
      </c>
      <c r="E11" s="38" t="s">
        <v>9347</v>
      </c>
      <c r="F11" s="38" t="s">
        <v>9348</v>
      </c>
      <c r="G11" s="38" t="s">
        <v>9349</v>
      </c>
      <c r="H11" s="38" t="s">
        <v>9350</v>
      </c>
      <c r="I11" s="37" t="s">
        <v>90</v>
      </c>
      <c r="J11" s="38" t="s">
        <v>9351</v>
      </c>
      <c r="K11" s="38"/>
      <c r="L11" s="39" t="s">
        <v>2106</v>
      </c>
      <c r="M11" s="39" t="s">
        <v>29</v>
      </c>
      <c r="N11" s="38" t="s">
        <v>723</v>
      </c>
      <c r="O11" s="39"/>
      <c r="P11" s="39"/>
    </row>
    <row r="12" spans="1:16" ht="13.2" customHeight="1" x14ac:dyDescent="0.25">
      <c r="A12" s="37">
        <v>10</v>
      </c>
      <c r="B12" s="38" t="s">
        <v>9352</v>
      </c>
      <c r="C12" s="38"/>
      <c r="D12" s="38" t="s">
        <v>9353</v>
      </c>
      <c r="E12" s="38" t="s">
        <v>9354</v>
      </c>
      <c r="F12" s="38" t="s">
        <v>9355</v>
      </c>
      <c r="G12" s="38" t="s">
        <v>9356</v>
      </c>
      <c r="H12" s="38" t="s">
        <v>9357</v>
      </c>
      <c r="I12" s="37" t="s">
        <v>113</v>
      </c>
      <c r="J12" s="38" t="s">
        <v>9358</v>
      </c>
      <c r="K12" s="38"/>
      <c r="L12" s="39" t="s">
        <v>2106</v>
      </c>
      <c r="M12" s="39" t="s">
        <v>29</v>
      </c>
      <c r="N12" s="38" t="s">
        <v>7068</v>
      </c>
      <c r="O12" s="39"/>
      <c r="P12" s="39"/>
    </row>
    <row r="13" spans="1:16" ht="13.2" customHeight="1" x14ac:dyDescent="0.25">
      <c r="A13" s="37">
        <v>11</v>
      </c>
      <c r="B13" s="38" t="s">
        <v>9359</v>
      </c>
      <c r="C13" s="38"/>
      <c r="D13" s="38" t="s">
        <v>675</v>
      </c>
      <c r="E13" s="38" t="s">
        <v>9360</v>
      </c>
      <c r="F13" s="38" t="s">
        <v>9336</v>
      </c>
      <c r="G13" s="38" t="s">
        <v>1694</v>
      </c>
      <c r="H13" s="38" t="s">
        <v>2452</v>
      </c>
      <c r="I13" s="37" t="s">
        <v>113</v>
      </c>
      <c r="J13" s="38" t="s">
        <v>9361</v>
      </c>
      <c r="K13" s="38"/>
      <c r="L13" s="39" t="s">
        <v>2106</v>
      </c>
      <c r="M13" s="39" t="s">
        <v>29</v>
      </c>
      <c r="N13" s="38" t="s">
        <v>9362</v>
      </c>
      <c r="O13" s="39"/>
      <c r="P13" s="39"/>
    </row>
    <row r="14" spans="1:16" ht="13.2" customHeight="1" x14ac:dyDescent="0.25">
      <c r="A14" s="37">
        <v>12</v>
      </c>
      <c r="B14" s="38" t="s">
        <v>9363</v>
      </c>
      <c r="C14" s="38"/>
      <c r="D14" s="38" t="s">
        <v>9364</v>
      </c>
      <c r="E14" s="38" t="s">
        <v>9365</v>
      </c>
      <c r="F14" s="38" t="s">
        <v>9366</v>
      </c>
      <c r="G14" s="38" t="s">
        <v>9367</v>
      </c>
      <c r="H14" s="38" t="s">
        <v>9368</v>
      </c>
      <c r="I14" s="37" t="s">
        <v>96</v>
      </c>
      <c r="J14" s="38" t="s">
        <v>9369</v>
      </c>
      <c r="K14" s="38"/>
      <c r="L14" s="39" t="s">
        <v>2106</v>
      </c>
      <c r="M14" s="39" t="s">
        <v>29</v>
      </c>
      <c r="N14" s="38" t="s">
        <v>5308</v>
      </c>
      <c r="O14" s="39"/>
      <c r="P14" s="39"/>
    </row>
    <row r="15" spans="1:16" ht="13.2" customHeight="1" x14ac:dyDescent="0.25">
      <c r="A15" s="37">
        <v>13</v>
      </c>
      <c r="B15" s="38" t="s">
        <v>9370</v>
      </c>
      <c r="C15" s="38"/>
      <c r="D15" s="38" t="s">
        <v>3111</v>
      </c>
      <c r="E15" s="38" t="s">
        <v>9371</v>
      </c>
      <c r="F15" s="38" t="s">
        <v>1694</v>
      </c>
      <c r="G15" s="38" t="s">
        <v>1216</v>
      </c>
      <c r="H15" s="38" t="s">
        <v>9311</v>
      </c>
      <c r="I15" s="37" t="s">
        <v>96</v>
      </c>
      <c r="J15" s="38" t="s">
        <v>9372</v>
      </c>
      <c r="K15" s="38"/>
      <c r="L15" s="39" t="s">
        <v>2106</v>
      </c>
      <c r="M15" s="39" t="s">
        <v>29</v>
      </c>
      <c r="N15" s="38" t="s">
        <v>9373</v>
      </c>
      <c r="O15" s="39"/>
      <c r="P15" s="39"/>
    </row>
    <row r="16" spans="1:16" ht="13.2" customHeight="1" x14ac:dyDescent="0.25">
      <c r="A16" s="37">
        <v>14</v>
      </c>
      <c r="B16" s="38" t="s">
        <v>9374</v>
      </c>
      <c r="C16" s="38"/>
      <c r="D16" s="38" t="s">
        <v>9375</v>
      </c>
      <c r="E16" s="38" t="s">
        <v>9376</v>
      </c>
      <c r="F16" s="38" t="s">
        <v>9377</v>
      </c>
      <c r="G16" s="38" t="s">
        <v>9378</v>
      </c>
      <c r="H16" s="38" t="s">
        <v>9379</v>
      </c>
      <c r="I16" s="37" t="s">
        <v>84</v>
      </c>
      <c r="J16" s="38" t="s">
        <v>9380</v>
      </c>
      <c r="K16" s="38"/>
      <c r="L16" s="39" t="s">
        <v>2106</v>
      </c>
      <c r="M16" s="39" t="s">
        <v>29</v>
      </c>
      <c r="N16" s="38" t="s">
        <v>749</v>
      </c>
      <c r="O16" s="39"/>
      <c r="P16" s="39"/>
    </row>
    <row r="17" spans="1:16" ht="13.2" customHeight="1" x14ac:dyDescent="0.25">
      <c r="A17" s="37">
        <v>15</v>
      </c>
      <c r="B17" s="38" t="s">
        <v>9381</v>
      </c>
      <c r="C17" s="38"/>
      <c r="D17" s="38" t="s">
        <v>9382</v>
      </c>
      <c r="E17" s="38" t="s">
        <v>9383</v>
      </c>
      <c r="F17" s="38" t="s">
        <v>9384</v>
      </c>
      <c r="G17" s="38" t="s">
        <v>4881</v>
      </c>
      <c r="H17" s="38" t="s">
        <v>4882</v>
      </c>
      <c r="I17" s="37" t="s">
        <v>123</v>
      </c>
      <c r="J17" s="38" t="s">
        <v>9385</v>
      </c>
      <c r="K17" s="38"/>
      <c r="L17" s="39" t="s">
        <v>9386</v>
      </c>
      <c r="M17" s="39" t="s">
        <v>29</v>
      </c>
      <c r="N17" s="38" t="s">
        <v>5329</v>
      </c>
      <c r="O17" s="39"/>
      <c r="P17" s="39"/>
    </row>
    <row r="18" spans="1:16" ht="13.2" customHeight="1" x14ac:dyDescent="0.25">
      <c r="A18" s="37">
        <v>16</v>
      </c>
      <c r="B18" s="38" t="s">
        <v>9387</v>
      </c>
      <c r="C18" s="38"/>
      <c r="D18" s="38" t="s">
        <v>9388</v>
      </c>
      <c r="E18" s="38" t="s">
        <v>559</v>
      </c>
      <c r="F18" s="38" t="s">
        <v>9389</v>
      </c>
      <c r="G18" s="38" t="s">
        <v>9390</v>
      </c>
      <c r="H18" s="38" t="s">
        <v>9336</v>
      </c>
      <c r="I18" s="37" t="s">
        <v>84</v>
      </c>
      <c r="J18" s="38" t="s">
        <v>9391</v>
      </c>
      <c r="K18" s="38"/>
      <c r="L18" s="39" t="s">
        <v>9386</v>
      </c>
      <c r="M18" s="39" t="s">
        <v>29</v>
      </c>
      <c r="N18" s="38" t="s">
        <v>9392</v>
      </c>
      <c r="O18" s="39"/>
      <c r="P18" s="39"/>
    </row>
    <row r="19" spans="1:16" ht="13.2" customHeight="1" x14ac:dyDescent="0.25">
      <c r="A19" s="37">
        <v>17</v>
      </c>
      <c r="B19" s="38" t="s">
        <v>9393</v>
      </c>
      <c r="C19" s="38"/>
      <c r="D19" s="38" t="s">
        <v>3111</v>
      </c>
      <c r="E19" s="38" t="s">
        <v>9311</v>
      </c>
      <c r="F19" s="38" t="s">
        <v>1694</v>
      </c>
      <c r="G19" s="38" t="s">
        <v>441</v>
      </c>
      <c r="H19" s="38" t="s">
        <v>9394</v>
      </c>
      <c r="I19" s="37" t="s">
        <v>123</v>
      </c>
      <c r="J19" s="38" t="s">
        <v>9395</v>
      </c>
      <c r="K19" s="38"/>
      <c r="L19" s="39" t="s">
        <v>2106</v>
      </c>
      <c r="M19" s="39" t="s">
        <v>29</v>
      </c>
      <c r="N19" s="38" t="s">
        <v>2839</v>
      </c>
      <c r="O19" s="39"/>
      <c r="P19" s="39"/>
    </row>
    <row r="20" spans="1:16" ht="13.2" customHeight="1" x14ac:dyDescent="0.25">
      <c r="A20" s="37">
        <v>18</v>
      </c>
      <c r="B20" s="38" t="s">
        <v>9396</v>
      </c>
      <c r="C20" s="38"/>
      <c r="D20" s="38" t="s">
        <v>5463</v>
      </c>
      <c r="E20" s="38" t="s">
        <v>9397</v>
      </c>
      <c r="F20" s="38" t="s">
        <v>9398</v>
      </c>
      <c r="G20" s="38" t="s">
        <v>1645</v>
      </c>
      <c r="H20" s="38" t="s">
        <v>1890</v>
      </c>
      <c r="I20" s="37" t="s">
        <v>123</v>
      </c>
      <c r="J20" s="38" t="s">
        <v>9399</v>
      </c>
      <c r="K20" s="38"/>
      <c r="L20" s="39" t="s">
        <v>2106</v>
      </c>
      <c r="M20" s="39" t="s">
        <v>29</v>
      </c>
      <c r="N20" s="38" t="s">
        <v>8451</v>
      </c>
      <c r="O20" s="39"/>
      <c r="P20" s="39"/>
    </row>
    <row r="21" spans="1:16" ht="13.2" customHeight="1" x14ac:dyDescent="0.25">
      <c r="A21" s="37">
        <v>19</v>
      </c>
      <c r="B21" s="38" t="s">
        <v>9400</v>
      </c>
      <c r="C21" s="38"/>
      <c r="D21" s="38" t="s">
        <v>9401</v>
      </c>
      <c r="E21" s="38" t="s">
        <v>9402</v>
      </c>
      <c r="F21" s="38" t="s">
        <v>9403</v>
      </c>
      <c r="G21" s="38" t="s">
        <v>9404</v>
      </c>
      <c r="H21" s="38" t="s">
        <v>9405</v>
      </c>
      <c r="I21" s="37" t="s">
        <v>84</v>
      </c>
      <c r="J21" s="38" t="s">
        <v>9406</v>
      </c>
      <c r="K21" s="38"/>
      <c r="L21" s="39" t="s">
        <v>2106</v>
      </c>
      <c r="M21" s="39" t="s">
        <v>29</v>
      </c>
      <c r="N21" s="38" t="s">
        <v>9407</v>
      </c>
      <c r="O21" s="39"/>
      <c r="P21" s="39"/>
    </row>
    <row r="22" spans="1:16" ht="13.2" customHeight="1" x14ac:dyDescent="0.25">
      <c r="A22" s="37">
        <v>20</v>
      </c>
      <c r="B22" s="38" t="s">
        <v>9408</v>
      </c>
      <c r="C22" s="38"/>
      <c r="D22" s="38" t="s">
        <v>9409</v>
      </c>
      <c r="E22" s="38" t="s">
        <v>9410</v>
      </c>
      <c r="F22" s="38" t="s">
        <v>9411</v>
      </c>
      <c r="G22" s="38" t="s">
        <v>9412</v>
      </c>
      <c r="H22" s="38" t="s">
        <v>9413</v>
      </c>
      <c r="I22" s="37" t="s">
        <v>84</v>
      </c>
      <c r="J22" s="38" t="s">
        <v>9414</v>
      </c>
      <c r="K22" s="38"/>
      <c r="L22" s="39" t="s">
        <v>2106</v>
      </c>
      <c r="M22" s="39" t="s">
        <v>29</v>
      </c>
      <c r="N22" s="38" t="s">
        <v>2862</v>
      </c>
      <c r="O22" s="39"/>
      <c r="P22" s="39"/>
    </row>
    <row r="23" spans="1:16" ht="13.2" customHeight="1" x14ac:dyDescent="0.25">
      <c r="A23" s="37">
        <v>21</v>
      </c>
      <c r="B23" s="38" t="s">
        <v>9415</v>
      </c>
      <c r="C23" s="38"/>
      <c r="D23" s="38" t="s">
        <v>9416</v>
      </c>
      <c r="E23" s="38" t="s">
        <v>9417</v>
      </c>
      <c r="F23" s="38" t="s">
        <v>9418</v>
      </c>
      <c r="G23" s="38" t="s">
        <v>9419</v>
      </c>
      <c r="H23" s="38" t="s">
        <v>9420</v>
      </c>
      <c r="I23" s="37" t="s">
        <v>123</v>
      </c>
      <c r="J23" s="38" t="s">
        <v>9421</v>
      </c>
      <c r="K23" s="38"/>
      <c r="L23" s="39" t="s">
        <v>2106</v>
      </c>
      <c r="M23" s="39" t="s">
        <v>29</v>
      </c>
      <c r="N23" s="38" t="s">
        <v>9422</v>
      </c>
      <c r="O23" s="39"/>
      <c r="P23" s="39"/>
    </row>
    <row r="24" spans="1:16" ht="13.2" customHeight="1" x14ac:dyDescent="0.25">
      <c r="A24" s="37">
        <v>22</v>
      </c>
      <c r="B24" s="38" t="s">
        <v>9423</v>
      </c>
      <c r="C24" s="38"/>
      <c r="D24" s="38" t="s">
        <v>9424</v>
      </c>
      <c r="E24" s="38" t="s">
        <v>9425</v>
      </c>
      <c r="F24" s="38" t="s">
        <v>9426</v>
      </c>
      <c r="G24" s="38" t="s">
        <v>9427</v>
      </c>
      <c r="H24" s="38" t="s">
        <v>9428</v>
      </c>
      <c r="I24" s="37" t="s">
        <v>96</v>
      </c>
      <c r="J24" s="38" t="s">
        <v>9429</v>
      </c>
      <c r="K24" s="38"/>
      <c r="L24" s="39" t="s">
        <v>2106</v>
      </c>
      <c r="M24" s="39" t="s">
        <v>29</v>
      </c>
      <c r="N24" s="38" t="s">
        <v>1839</v>
      </c>
      <c r="O24" s="39"/>
      <c r="P24" s="39"/>
    </row>
    <row r="25" spans="1:16" ht="13.2" customHeight="1" x14ac:dyDescent="0.25">
      <c r="A25" s="37">
        <v>23</v>
      </c>
      <c r="B25" s="38" t="s">
        <v>9430</v>
      </c>
      <c r="C25" s="38"/>
      <c r="D25" s="38" t="s">
        <v>9431</v>
      </c>
      <c r="E25" s="38" t="s">
        <v>9432</v>
      </c>
      <c r="F25" s="38" t="s">
        <v>9433</v>
      </c>
      <c r="G25" s="38" t="s">
        <v>9434</v>
      </c>
      <c r="H25" s="38" t="s">
        <v>9435</v>
      </c>
      <c r="I25" s="37" t="s">
        <v>96</v>
      </c>
      <c r="J25" s="38" t="s">
        <v>9436</v>
      </c>
      <c r="K25" s="38"/>
      <c r="L25" s="39" t="s">
        <v>9437</v>
      </c>
      <c r="M25" s="39" t="s">
        <v>29</v>
      </c>
      <c r="N25" s="38" t="s">
        <v>9438</v>
      </c>
      <c r="O25" s="39"/>
      <c r="P25" s="39"/>
    </row>
    <row r="26" spans="1:16" ht="13.2" customHeight="1" x14ac:dyDescent="0.25">
      <c r="A26" s="37">
        <v>24</v>
      </c>
      <c r="B26" s="38" t="s">
        <v>9439</v>
      </c>
      <c r="C26" s="38"/>
      <c r="D26" s="38" t="s">
        <v>9440</v>
      </c>
      <c r="E26" s="38" t="s">
        <v>9441</v>
      </c>
      <c r="F26" s="38" t="s">
        <v>6242</v>
      </c>
      <c r="G26" s="38" t="s">
        <v>9442</v>
      </c>
      <c r="H26" s="38" t="s">
        <v>9443</v>
      </c>
      <c r="I26" s="37" t="s">
        <v>113</v>
      </c>
      <c r="J26" s="38" t="s">
        <v>9444</v>
      </c>
      <c r="K26" s="38"/>
      <c r="L26" s="39" t="s">
        <v>9437</v>
      </c>
      <c r="M26" s="39" t="s">
        <v>29</v>
      </c>
      <c r="N26" s="38" t="s">
        <v>2893</v>
      </c>
      <c r="O26" s="39"/>
      <c r="P26" s="39"/>
    </row>
    <row r="27" spans="1:16" ht="13.2" customHeight="1" x14ac:dyDescent="0.25">
      <c r="A27" s="37">
        <v>25</v>
      </c>
      <c r="B27" s="38" t="s">
        <v>9445</v>
      </c>
      <c r="C27" s="38"/>
      <c r="D27" s="38" t="s">
        <v>9446</v>
      </c>
      <c r="E27" s="38" t="s">
        <v>4787</v>
      </c>
      <c r="F27" s="38" t="s">
        <v>9447</v>
      </c>
      <c r="G27" s="38" t="s">
        <v>6620</v>
      </c>
      <c r="H27" s="38" t="s">
        <v>9448</v>
      </c>
      <c r="I27" s="37" t="s">
        <v>84</v>
      </c>
      <c r="J27" s="38" t="s">
        <v>9449</v>
      </c>
      <c r="K27" s="38"/>
      <c r="L27" s="39" t="s">
        <v>9437</v>
      </c>
      <c r="M27" s="39" t="s">
        <v>29</v>
      </c>
      <c r="N27" s="38" t="s">
        <v>9450</v>
      </c>
      <c r="O27" s="39"/>
      <c r="P27" s="39"/>
    </row>
    <row r="28" spans="1:16" ht="13.2" customHeight="1" x14ac:dyDescent="0.25">
      <c r="A28" s="37">
        <v>26</v>
      </c>
      <c r="B28" s="38" t="s">
        <v>9451</v>
      </c>
      <c r="C28" s="38"/>
      <c r="D28" s="38" t="s">
        <v>9452</v>
      </c>
      <c r="E28" s="38" t="s">
        <v>9453</v>
      </c>
      <c r="F28" s="38" t="s">
        <v>9454</v>
      </c>
      <c r="G28" s="38" t="s">
        <v>9455</v>
      </c>
      <c r="H28" s="38" t="s">
        <v>9456</v>
      </c>
      <c r="I28" s="37" t="s">
        <v>96</v>
      </c>
      <c r="J28" s="38" t="s">
        <v>9457</v>
      </c>
      <c r="K28" s="38"/>
      <c r="L28" s="39" t="s">
        <v>9437</v>
      </c>
      <c r="M28" s="39" t="s">
        <v>29</v>
      </c>
      <c r="N28" s="38" t="s">
        <v>9458</v>
      </c>
      <c r="O28" s="39"/>
      <c r="P28" s="39"/>
    </row>
    <row r="29" spans="1:16" ht="13.2" customHeight="1" x14ac:dyDescent="0.25">
      <c r="A29" s="37">
        <v>27</v>
      </c>
      <c r="B29" s="38" t="s">
        <v>9459</v>
      </c>
      <c r="C29" s="38"/>
      <c r="D29" s="38" t="s">
        <v>9460</v>
      </c>
      <c r="E29" s="38" t="s">
        <v>3111</v>
      </c>
      <c r="F29" s="38" t="s">
        <v>5467</v>
      </c>
      <c r="G29" s="38" t="s">
        <v>9443</v>
      </c>
      <c r="H29" s="38" t="s">
        <v>9461</v>
      </c>
      <c r="I29" s="37" t="s">
        <v>90</v>
      </c>
      <c r="J29" s="38" t="s">
        <v>9462</v>
      </c>
      <c r="K29" s="38"/>
      <c r="L29" s="39" t="s">
        <v>9437</v>
      </c>
      <c r="M29" s="39" t="s">
        <v>29</v>
      </c>
      <c r="N29" s="38" t="s">
        <v>7177</v>
      </c>
      <c r="O29" s="39"/>
      <c r="P29" s="39"/>
    </row>
    <row r="30" spans="1:16" ht="13.2" customHeight="1" x14ac:dyDescent="0.25">
      <c r="A30" s="37">
        <v>28</v>
      </c>
      <c r="B30" s="38" t="s">
        <v>9463</v>
      </c>
      <c r="C30" s="38"/>
      <c r="D30" s="38" t="s">
        <v>9464</v>
      </c>
      <c r="E30" s="38" t="s">
        <v>9465</v>
      </c>
      <c r="F30" s="38" t="s">
        <v>9466</v>
      </c>
      <c r="G30" s="38" t="s">
        <v>9467</v>
      </c>
      <c r="H30" s="38" t="s">
        <v>9468</v>
      </c>
      <c r="I30" s="37" t="s">
        <v>113</v>
      </c>
      <c r="J30" s="38" t="s">
        <v>9469</v>
      </c>
      <c r="K30" s="38"/>
      <c r="L30" s="39" t="s">
        <v>9437</v>
      </c>
      <c r="M30" s="39" t="s">
        <v>29</v>
      </c>
      <c r="N30" s="38" t="s">
        <v>2924</v>
      </c>
      <c r="O30" s="39"/>
      <c r="P30" s="39"/>
    </row>
    <row r="31" spans="1:16" ht="13.2" customHeight="1" x14ac:dyDescent="0.25">
      <c r="A31" s="37">
        <v>29</v>
      </c>
      <c r="B31" s="38" t="s">
        <v>9470</v>
      </c>
      <c r="C31" s="38"/>
      <c r="D31" s="38" t="s">
        <v>9471</v>
      </c>
      <c r="E31" s="38" t="s">
        <v>9472</v>
      </c>
      <c r="F31" s="38" t="s">
        <v>9473</v>
      </c>
      <c r="G31" s="38" t="s">
        <v>9474</v>
      </c>
      <c r="H31" s="38" t="s">
        <v>9475</v>
      </c>
      <c r="I31" s="37" t="s">
        <v>113</v>
      </c>
      <c r="J31" s="38" t="s">
        <v>9476</v>
      </c>
      <c r="K31" s="38"/>
      <c r="L31" s="39" t="s">
        <v>9437</v>
      </c>
      <c r="M31" s="39" t="s">
        <v>29</v>
      </c>
      <c r="N31" s="38" t="s">
        <v>6625</v>
      </c>
      <c r="O31" s="39"/>
      <c r="P31" s="39"/>
    </row>
    <row r="32" spans="1:16" ht="13.2" customHeight="1" x14ac:dyDescent="0.25">
      <c r="A32" s="37">
        <v>30</v>
      </c>
      <c r="B32" s="38" t="s">
        <v>9477</v>
      </c>
      <c r="C32" s="38"/>
      <c r="D32" s="38" t="s">
        <v>9478</v>
      </c>
      <c r="E32" s="38" t="s">
        <v>9479</v>
      </c>
      <c r="F32" s="38" t="s">
        <v>9480</v>
      </c>
      <c r="G32" s="38" t="s">
        <v>9481</v>
      </c>
      <c r="H32" s="38" t="s">
        <v>9482</v>
      </c>
      <c r="I32" s="37" t="s">
        <v>96</v>
      </c>
      <c r="J32" s="38" t="s">
        <v>9483</v>
      </c>
      <c r="K32" s="38"/>
      <c r="L32" s="39" t="s">
        <v>9437</v>
      </c>
      <c r="M32" s="39" t="s">
        <v>29</v>
      </c>
      <c r="N32" s="38" t="s">
        <v>2939</v>
      </c>
      <c r="O32" s="39"/>
      <c r="P32" s="39"/>
    </row>
    <row r="33" spans="1:16" ht="13.2" customHeight="1" x14ac:dyDescent="0.25">
      <c r="A33" s="37">
        <v>31</v>
      </c>
      <c r="B33" s="38" t="s">
        <v>9484</v>
      </c>
      <c r="C33" s="38"/>
      <c r="D33" s="38" t="s">
        <v>9485</v>
      </c>
      <c r="E33" s="38" t="s">
        <v>9486</v>
      </c>
      <c r="F33" s="38" t="s">
        <v>9487</v>
      </c>
      <c r="G33" s="38" t="s">
        <v>9488</v>
      </c>
      <c r="H33" s="38" t="s">
        <v>9489</v>
      </c>
      <c r="I33" s="37" t="s">
        <v>84</v>
      </c>
      <c r="J33" s="38" t="s">
        <v>9490</v>
      </c>
      <c r="K33" s="38"/>
      <c r="L33" s="39" t="s">
        <v>9437</v>
      </c>
      <c r="M33" s="39" t="s">
        <v>29</v>
      </c>
      <c r="N33" s="38" t="s">
        <v>2947</v>
      </c>
      <c r="O33" s="39"/>
      <c r="P33" s="39"/>
    </row>
    <row r="34" spans="1:16" ht="13.2" customHeight="1" x14ac:dyDescent="0.25">
      <c r="A34" s="37">
        <v>32</v>
      </c>
      <c r="B34" s="38" t="s">
        <v>9491</v>
      </c>
      <c r="C34" s="38"/>
      <c r="D34" s="38" t="s">
        <v>9492</v>
      </c>
      <c r="E34" s="38" t="s">
        <v>9493</v>
      </c>
      <c r="F34" s="38" t="s">
        <v>9494</v>
      </c>
      <c r="G34" s="38" t="s">
        <v>9495</v>
      </c>
      <c r="H34" s="38" t="s">
        <v>9496</v>
      </c>
      <c r="I34" s="37" t="s">
        <v>84</v>
      </c>
      <c r="J34" s="38" t="s">
        <v>9497</v>
      </c>
      <c r="K34" s="38"/>
      <c r="L34" s="39" t="s">
        <v>519</v>
      </c>
      <c r="M34" s="39" t="s">
        <v>29</v>
      </c>
      <c r="N34" s="38" t="s">
        <v>8564</v>
      </c>
      <c r="O34" s="39"/>
      <c r="P34" s="39"/>
    </row>
    <row r="35" spans="1:16" ht="13.2" customHeight="1" x14ac:dyDescent="0.25">
      <c r="A35" s="37">
        <v>33</v>
      </c>
      <c r="B35" s="38" t="s">
        <v>9498</v>
      </c>
      <c r="C35" s="38"/>
      <c r="D35" s="38" t="s">
        <v>1133</v>
      </c>
      <c r="E35" s="38" t="s">
        <v>8137</v>
      </c>
      <c r="F35" s="38" t="s">
        <v>5033</v>
      </c>
      <c r="G35" s="38" t="s">
        <v>9133</v>
      </c>
      <c r="H35" s="38" t="s">
        <v>5518</v>
      </c>
      <c r="I35" s="37" t="s">
        <v>113</v>
      </c>
      <c r="J35" s="38" t="s">
        <v>9499</v>
      </c>
      <c r="K35" s="38"/>
      <c r="L35" s="39" t="s">
        <v>519</v>
      </c>
      <c r="M35" s="39" t="s">
        <v>29</v>
      </c>
      <c r="N35" s="38" t="s">
        <v>2962</v>
      </c>
      <c r="O35" s="39"/>
      <c r="P35" s="39"/>
    </row>
    <row r="36" spans="1:16" ht="13.2" customHeight="1" x14ac:dyDescent="0.25">
      <c r="A36" s="37">
        <v>34</v>
      </c>
      <c r="B36" s="38" t="s">
        <v>9500</v>
      </c>
      <c r="C36" s="38"/>
      <c r="D36" s="38" t="s">
        <v>9501</v>
      </c>
      <c r="E36" s="38" t="s">
        <v>9502</v>
      </c>
      <c r="F36" s="38" t="s">
        <v>9503</v>
      </c>
      <c r="G36" s="38" t="s">
        <v>9504</v>
      </c>
      <c r="H36" s="38" t="s">
        <v>9505</v>
      </c>
      <c r="I36" s="37" t="s">
        <v>84</v>
      </c>
      <c r="J36" s="38" t="s">
        <v>9506</v>
      </c>
      <c r="K36" s="38"/>
      <c r="L36" s="39" t="s">
        <v>519</v>
      </c>
      <c r="M36" s="39" t="s">
        <v>29</v>
      </c>
      <c r="N36" s="38" t="s">
        <v>5464</v>
      </c>
      <c r="O36" s="39"/>
      <c r="P36" s="39"/>
    </row>
    <row r="37" spans="1:16" ht="13.2" customHeight="1" x14ac:dyDescent="0.25">
      <c r="A37" s="37">
        <v>35</v>
      </c>
      <c r="B37" s="38" t="s">
        <v>9507</v>
      </c>
      <c r="C37" s="38"/>
      <c r="D37" s="38" t="s">
        <v>9508</v>
      </c>
      <c r="E37" s="38" t="s">
        <v>9509</v>
      </c>
      <c r="F37" s="38" t="s">
        <v>4192</v>
      </c>
      <c r="G37" s="38" t="s">
        <v>9510</v>
      </c>
      <c r="H37" s="38" t="s">
        <v>9511</v>
      </c>
      <c r="I37" s="37" t="s">
        <v>96</v>
      </c>
      <c r="J37" s="38" t="s">
        <v>9512</v>
      </c>
      <c r="K37" s="38"/>
      <c r="L37" s="39" t="s">
        <v>519</v>
      </c>
      <c r="M37" s="39" t="s">
        <v>29</v>
      </c>
      <c r="N37" s="38" t="s">
        <v>9513</v>
      </c>
      <c r="O37" s="39"/>
      <c r="P37" s="39"/>
    </row>
    <row r="38" spans="1:16" ht="13.2" customHeight="1" x14ac:dyDescent="0.25">
      <c r="A38" s="37">
        <v>36</v>
      </c>
      <c r="B38" s="38" t="s">
        <v>9514</v>
      </c>
      <c r="C38" s="38"/>
      <c r="D38" s="38" t="s">
        <v>9515</v>
      </c>
      <c r="E38" s="38" t="s">
        <v>9516</v>
      </c>
      <c r="F38" s="38" t="s">
        <v>9517</v>
      </c>
      <c r="G38" s="38" t="s">
        <v>9518</v>
      </c>
      <c r="H38" s="38" t="s">
        <v>9519</v>
      </c>
      <c r="I38" s="37" t="s">
        <v>90</v>
      </c>
      <c r="J38" s="38" t="s">
        <v>9520</v>
      </c>
      <c r="K38" s="38"/>
      <c r="L38" s="39" t="s">
        <v>519</v>
      </c>
      <c r="M38" s="39" t="s">
        <v>29</v>
      </c>
      <c r="N38" s="38" t="s">
        <v>9521</v>
      </c>
      <c r="O38" s="39"/>
      <c r="P38" s="39"/>
    </row>
    <row r="39" spans="1:16" ht="13.2" customHeight="1" x14ac:dyDescent="0.25">
      <c r="A39" s="37">
        <v>37</v>
      </c>
      <c r="B39" s="38" t="s">
        <v>9522</v>
      </c>
      <c r="C39" s="38"/>
      <c r="D39" s="38" t="s">
        <v>9523</v>
      </c>
      <c r="E39" s="38" t="s">
        <v>9524</v>
      </c>
      <c r="F39" s="38" t="s">
        <v>9525</v>
      </c>
      <c r="G39" s="38" t="s">
        <v>9526</v>
      </c>
      <c r="H39" s="38" t="s">
        <v>9527</v>
      </c>
      <c r="I39" s="37" t="s">
        <v>123</v>
      </c>
      <c r="J39" s="38" t="s">
        <v>9528</v>
      </c>
      <c r="K39" s="38"/>
      <c r="L39" s="39" t="s">
        <v>519</v>
      </c>
      <c r="M39" s="39" t="s">
        <v>29</v>
      </c>
      <c r="N39" s="38" t="s">
        <v>9529</v>
      </c>
      <c r="O39" s="39"/>
      <c r="P39" s="39"/>
    </row>
    <row r="40" spans="1:16" ht="13.2" customHeight="1" x14ac:dyDescent="0.25">
      <c r="A40" s="37">
        <v>38</v>
      </c>
      <c r="B40" s="38" t="s">
        <v>9530</v>
      </c>
      <c r="C40" s="38"/>
      <c r="D40" s="38" t="s">
        <v>9531</v>
      </c>
      <c r="E40" s="38" t="s">
        <v>9532</v>
      </c>
      <c r="F40" s="38" t="s">
        <v>9533</v>
      </c>
      <c r="G40" s="38" t="s">
        <v>9534</v>
      </c>
      <c r="H40" s="38" t="s">
        <v>9535</v>
      </c>
      <c r="I40" s="37" t="s">
        <v>96</v>
      </c>
      <c r="J40" s="38" t="s">
        <v>9536</v>
      </c>
      <c r="K40" s="38"/>
      <c r="L40" s="39" t="s">
        <v>519</v>
      </c>
      <c r="M40" s="39" t="s">
        <v>29</v>
      </c>
      <c r="N40" s="38" t="s">
        <v>9537</v>
      </c>
      <c r="O40" s="39"/>
      <c r="P40" s="39"/>
    </row>
    <row r="41" spans="1:16" ht="13.2" customHeight="1" x14ac:dyDescent="0.25">
      <c r="A41" s="37">
        <v>39</v>
      </c>
      <c r="B41" s="38" t="s">
        <v>9538</v>
      </c>
      <c r="C41" s="38"/>
      <c r="D41" s="38" t="s">
        <v>9539</v>
      </c>
      <c r="E41" s="38" t="s">
        <v>9540</v>
      </c>
      <c r="F41" s="38" t="s">
        <v>9541</v>
      </c>
      <c r="G41" s="38" t="s">
        <v>9542</v>
      </c>
      <c r="H41" s="38" t="s">
        <v>9543</v>
      </c>
      <c r="I41" s="37" t="s">
        <v>123</v>
      </c>
      <c r="J41" s="38" t="s">
        <v>9544</v>
      </c>
      <c r="K41" s="38"/>
      <c r="L41" s="39" t="s">
        <v>519</v>
      </c>
      <c r="M41" s="39" t="s">
        <v>29</v>
      </c>
      <c r="N41" s="38" t="s">
        <v>9545</v>
      </c>
      <c r="O41" s="39"/>
      <c r="P41" s="39"/>
    </row>
    <row r="42" spans="1:16" ht="13.2" customHeight="1" x14ac:dyDescent="0.25">
      <c r="A42" s="37">
        <v>40</v>
      </c>
      <c r="B42" s="38" t="s">
        <v>9546</v>
      </c>
      <c r="C42" s="38"/>
      <c r="D42" s="38" t="s">
        <v>9547</v>
      </c>
      <c r="E42" s="38" t="s">
        <v>9548</v>
      </c>
      <c r="F42" s="38" t="s">
        <v>9549</v>
      </c>
      <c r="G42" s="38" t="s">
        <v>9550</v>
      </c>
      <c r="H42" s="38" t="s">
        <v>9551</v>
      </c>
      <c r="I42" s="37" t="s">
        <v>84</v>
      </c>
      <c r="J42" s="38" t="s">
        <v>9552</v>
      </c>
      <c r="K42" s="38"/>
      <c r="L42" s="39" t="s">
        <v>519</v>
      </c>
      <c r="M42" s="39" t="s">
        <v>29</v>
      </c>
      <c r="N42" s="38" t="s">
        <v>9553</v>
      </c>
      <c r="O42" s="39"/>
      <c r="P42" s="39"/>
    </row>
    <row r="43" spans="1:16" ht="13.2" customHeight="1" x14ac:dyDescent="0.25">
      <c r="A43" s="37">
        <v>41</v>
      </c>
      <c r="B43" s="38" t="s">
        <v>9554</v>
      </c>
      <c r="C43" s="38"/>
      <c r="D43" s="38" t="s">
        <v>9555</v>
      </c>
      <c r="E43" s="38" t="s">
        <v>9556</v>
      </c>
      <c r="F43" s="38" t="s">
        <v>9557</v>
      </c>
      <c r="G43" s="38" t="s">
        <v>9558</v>
      </c>
      <c r="H43" s="38" t="s">
        <v>9559</v>
      </c>
      <c r="I43" s="37" t="s">
        <v>113</v>
      </c>
      <c r="J43" s="38" t="s">
        <v>9560</v>
      </c>
      <c r="K43" s="38"/>
      <c r="L43" s="39" t="s">
        <v>519</v>
      </c>
      <c r="M43" s="39" t="s">
        <v>29</v>
      </c>
      <c r="N43" s="38" t="s">
        <v>5508</v>
      </c>
      <c r="O43" s="39"/>
      <c r="P43" s="39"/>
    </row>
    <row r="44" spans="1:16" ht="13.2" customHeight="1" x14ac:dyDescent="0.25">
      <c r="A44" s="37">
        <v>42</v>
      </c>
      <c r="B44" s="38" t="s">
        <v>9561</v>
      </c>
      <c r="C44" s="38"/>
      <c r="D44" s="38" t="s">
        <v>9314</v>
      </c>
      <c r="E44" s="38" t="s">
        <v>9317</v>
      </c>
      <c r="F44" s="38" t="s">
        <v>9562</v>
      </c>
      <c r="G44" s="38" t="s">
        <v>9563</v>
      </c>
      <c r="H44" s="38" t="s">
        <v>9564</v>
      </c>
      <c r="I44" s="37" t="s">
        <v>84</v>
      </c>
      <c r="J44" s="38" t="s">
        <v>9565</v>
      </c>
      <c r="K44" s="38"/>
      <c r="L44" s="39" t="s">
        <v>519</v>
      </c>
      <c r="M44" s="39" t="s">
        <v>29</v>
      </c>
      <c r="N44" s="38" t="s">
        <v>9566</v>
      </c>
      <c r="O44" s="39"/>
      <c r="P44" s="39"/>
    </row>
    <row r="45" spans="1:16" ht="13.2" customHeight="1" x14ac:dyDescent="0.25">
      <c r="A45" s="37">
        <v>43</v>
      </c>
      <c r="B45" s="38" t="s">
        <v>9567</v>
      </c>
      <c r="C45" s="38"/>
      <c r="D45" s="38" t="s">
        <v>9568</v>
      </c>
      <c r="E45" s="38" t="s">
        <v>9569</v>
      </c>
      <c r="F45" s="38" t="s">
        <v>9570</v>
      </c>
      <c r="G45" s="38" t="s">
        <v>9571</v>
      </c>
      <c r="H45" s="38" t="s">
        <v>9572</v>
      </c>
      <c r="I45" s="37" t="s">
        <v>113</v>
      </c>
      <c r="J45" s="38" t="s">
        <v>9573</v>
      </c>
      <c r="K45" s="38"/>
      <c r="L45" s="39" t="s">
        <v>519</v>
      </c>
      <c r="M45" s="39" t="s">
        <v>29</v>
      </c>
      <c r="N45" s="38" t="s">
        <v>9574</v>
      </c>
      <c r="O45" s="39"/>
      <c r="P45" s="39"/>
    </row>
    <row r="46" spans="1:16" ht="13.2" customHeight="1" x14ac:dyDescent="0.25">
      <c r="A46" s="37">
        <v>44</v>
      </c>
      <c r="B46" s="38" t="s">
        <v>9575</v>
      </c>
      <c r="C46" s="38"/>
      <c r="D46" s="38" t="s">
        <v>9576</v>
      </c>
      <c r="E46" s="38" t="s">
        <v>9577</v>
      </c>
      <c r="F46" s="38" t="s">
        <v>9578</v>
      </c>
      <c r="G46" s="38" t="s">
        <v>9579</v>
      </c>
      <c r="H46" s="38" t="s">
        <v>9580</v>
      </c>
      <c r="I46" s="37" t="s">
        <v>123</v>
      </c>
      <c r="J46" s="38" t="s">
        <v>9581</v>
      </c>
      <c r="K46" s="38"/>
      <c r="L46" s="39" t="s">
        <v>519</v>
      </c>
      <c r="M46" s="39" t="s">
        <v>29</v>
      </c>
      <c r="N46" s="38" t="s">
        <v>9582</v>
      </c>
      <c r="O46" s="39"/>
      <c r="P46" s="39"/>
    </row>
    <row r="47" spans="1:16" ht="13.2" customHeight="1" x14ac:dyDescent="0.25">
      <c r="A47" s="37">
        <v>45</v>
      </c>
      <c r="B47" s="38" t="s">
        <v>9583</v>
      </c>
      <c r="C47" s="38"/>
      <c r="D47" s="38" t="s">
        <v>9584</v>
      </c>
      <c r="E47" s="38" t="s">
        <v>2224</v>
      </c>
      <c r="F47" s="38" t="s">
        <v>9585</v>
      </c>
      <c r="G47" s="38" t="s">
        <v>9586</v>
      </c>
      <c r="H47" s="38" t="s">
        <v>9587</v>
      </c>
      <c r="I47" s="37" t="s">
        <v>84</v>
      </c>
      <c r="J47" s="38" t="s">
        <v>9588</v>
      </c>
      <c r="K47" s="38"/>
      <c r="L47" s="39" t="s">
        <v>519</v>
      </c>
      <c r="M47" s="39" t="s">
        <v>29</v>
      </c>
      <c r="N47" s="38" t="s">
        <v>5533</v>
      </c>
      <c r="O47" s="39"/>
      <c r="P47" s="39"/>
    </row>
    <row r="48" spans="1:16" ht="13.2" customHeight="1" x14ac:dyDescent="0.25">
      <c r="A48" s="37">
        <v>46</v>
      </c>
      <c r="B48" s="38" t="s">
        <v>9589</v>
      </c>
      <c r="C48" s="38"/>
      <c r="D48" s="38" t="s">
        <v>9590</v>
      </c>
      <c r="E48" s="38" t="s">
        <v>9591</v>
      </c>
      <c r="F48" s="38" t="s">
        <v>9592</v>
      </c>
      <c r="G48" s="38" t="s">
        <v>9593</v>
      </c>
      <c r="H48" s="38" t="s">
        <v>9594</v>
      </c>
      <c r="I48" s="37" t="s">
        <v>96</v>
      </c>
      <c r="J48" s="38" t="s">
        <v>9595</v>
      </c>
      <c r="K48" s="38"/>
      <c r="L48" s="39" t="s">
        <v>2106</v>
      </c>
      <c r="M48" s="39" t="s">
        <v>29</v>
      </c>
      <c r="N48" s="38" t="s">
        <v>5541</v>
      </c>
      <c r="O48" s="39"/>
      <c r="P48" s="39"/>
    </row>
    <row r="49" spans="1:17" ht="13.2" customHeight="1" x14ac:dyDescent="0.25">
      <c r="A49" s="37">
        <v>47</v>
      </c>
      <c r="B49" s="38" t="s">
        <v>9596</v>
      </c>
      <c r="C49" s="38"/>
      <c r="D49" s="38" t="s">
        <v>9597</v>
      </c>
      <c r="E49" s="38" t="s">
        <v>9598</v>
      </c>
      <c r="F49" s="38" t="s">
        <v>9599</v>
      </c>
      <c r="G49" s="38" t="s">
        <v>9600</v>
      </c>
      <c r="H49" s="38" t="s">
        <v>9601</v>
      </c>
      <c r="I49" s="37" t="s">
        <v>84</v>
      </c>
      <c r="J49" s="38" t="s">
        <v>9602</v>
      </c>
      <c r="K49" s="38"/>
      <c r="L49" s="39" t="s">
        <v>519</v>
      </c>
      <c r="M49" s="39" t="s">
        <v>29</v>
      </c>
      <c r="N49" s="38" t="s">
        <v>9603</v>
      </c>
      <c r="O49" s="39"/>
      <c r="P49" s="39"/>
    </row>
    <row r="50" spans="1:17" ht="13.2" customHeight="1" x14ac:dyDescent="0.25">
      <c r="A50" s="37">
        <v>48</v>
      </c>
      <c r="B50" s="38" t="s">
        <v>9604</v>
      </c>
      <c r="C50" s="38"/>
      <c r="D50" s="38" t="s">
        <v>9605</v>
      </c>
      <c r="E50" s="38" t="s">
        <v>9606</v>
      </c>
      <c r="F50" s="38" t="s">
        <v>9607</v>
      </c>
      <c r="G50" s="38" t="s">
        <v>9608</v>
      </c>
      <c r="H50" s="38" t="s">
        <v>9609</v>
      </c>
      <c r="I50" s="37" t="s">
        <v>123</v>
      </c>
      <c r="J50" s="38" t="s">
        <v>9610</v>
      </c>
      <c r="K50" s="38"/>
      <c r="L50" s="39" t="s">
        <v>2106</v>
      </c>
      <c r="M50" s="39" t="s">
        <v>29</v>
      </c>
      <c r="N50" s="38" t="s">
        <v>3078</v>
      </c>
      <c r="O50" s="39"/>
      <c r="P50" s="39"/>
    </row>
    <row r="51" spans="1:17" ht="13.2" customHeight="1" x14ac:dyDescent="0.25">
      <c r="A51" s="37">
        <v>49</v>
      </c>
      <c r="B51" s="38" t="s">
        <v>9611</v>
      </c>
      <c r="C51" s="38"/>
      <c r="D51" s="38" t="s">
        <v>9612</v>
      </c>
      <c r="E51" s="38" t="s">
        <v>9613</v>
      </c>
      <c r="F51" s="38" t="s">
        <v>9614</v>
      </c>
      <c r="G51" s="38" t="s">
        <v>9615</v>
      </c>
      <c r="H51" s="38" t="s">
        <v>9616</v>
      </c>
      <c r="I51" s="37" t="s">
        <v>113</v>
      </c>
      <c r="J51" s="38" t="s">
        <v>9617</v>
      </c>
      <c r="K51" s="38"/>
      <c r="L51" s="39" t="s">
        <v>2106</v>
      </c>
      <c r="M51" s="39" t="s">
        <v>29</v>
      </c>
      <c r="N51" s="38" t="s">
        <v>5559</v>
      </c>
      <c r="O51" s="39"/>
      <c r="P51" s="39"/>
    </row>
    <row r="52" spans="1:17" ht="13.2" customHeight="1" x14ac:dyDescent="0.25">
      <c r="A52" s="37">
        <v>50</v>
      </c>
      <c r="B52" s="38" t="s">
        <v>9618</v>
      </c>
      <c r="C52" s="38"/>
      <c r="D52" s="38" t="s">
        <v>9619</v>
      </c>
      <c r="E52" s="38" t="s">
        <v>9620</v>
      </c>
      <c r="F52" s="38" t="s">
        <v>9621</v>
      </c>
      <c r="G52" s="38" t="s">
        <v>9622</v>
      </c>
      <c r="H52" s="38" t="s">
        <v>9623</v>
      </c>
      <c r="I52" s="37" t="s">
        <v>90</v>
      </c>
      <c r="J52" s="38" t="s">
        <v>9624</v>
      </c>
      <c r="K52" s="38"/>
      <c r="L52" s="39" t="s">
        <v>9625</v>
      </c>
      <c r="M52" s="39" t="s">
        <v>29</v>
      </c>
      <c r="N52" s="38" t="s">
        <v>988</v>
      </c>
      <c r="O52" s="39"/>
      <c r="P52" s="39"/>
    </row>
    <row r="53" spans="1:17" ht="13.2" customHeight="1" x14ac:dyDescent="0.25">
      <c r="A53" s="37">
        <v>51</v>
      </c>
      <c r="B53" s="38" t="s">
        <v>9626</v>
      </c>
      <c r="C53" s="38"/>
      <c r="D53" s="38" t="s">
        <v>9627</v>
      </c>
      <c r="E53" s="38" t="s">
        <v>9628</v>
      </c>
      <c r="F53" s="38" t="s">
        <v>9629</v>
      </c>
      <c r="G53" s="38" t="s">
        <v>9630</v>
      </c>
      <c r="H53" s="38" t="s">
        <v>9631</v>
      </c>
      <c r="I53" s="37" t="s">
        <v>96</v>
      </c>
      <c r="J53" s="38" t="s">
        <v>9632</v>
      </c>
      <c r="K53" s="38"/>
      <c r="L53" s="39" t="s">
        <v>9625</v>
      </c>
      <c r="M53" s="39" t="s">
        <v>29</v>
      </c>
      <c r="N53" s="38" t="s">
        <v>5569</v>
      </c>
      <c r="O53" s="39"/>
      <c r="P53" s="39"/>
    </row>
    <row r="54" spans="1:17" ht="13.2" customHeight="1" x14ac:dyDescent="0.25">
      <c r="A54" s="37">
        <v>52</v>
      </c>
      <c r="B54" s="38" t="s">
        <v>9633</v>
      </c>
      <c r="C54" s="38"/>
      <c r="D54" s="38" t="s">
        <v>9634</v>
      </c>
      <c r="E54" s="38" t="s">
        <v>9635</v>
      </c>
      <c r="F54" s="38" t="s">
        <v>9636</v>
      </c>
      <c r="G54" s="38" t="s">
        <v>9637</v>
      </c>
      <c r="H54" s="38" t="s">
        <v>9638</v>
      </c>
      <c r="I54" s="37" t="s">
        <v>84</v>
      </c>
      <c r="J54" s="38" t="s">
        <v>9639</v>
      </c>
      <c r="K54" s="38"/>
      <c r="L54" s="39" t="s">
        <v>9625</v>
      </c>
      <c r="M54" s="39" t="s">
        <v>29</v>
      </c>
      <c r="N54" s="38" t="s">
        <v>5577</v>
      </c>
      <c r="O54" s="39"/>
      <c r="P54" s="39"/>
    </row>
    <row r="55" spans="1:17" ht="13.2" customHeight="1" x14ac:dyDescent="0.25">
      <c r="A55" s="37">
        <v>53</v>
      </c>
      <c r="B55" s="38" t="s">
        <v>9640</v>
      </c>
      <c r="C55" s="38"/>
      <c r="D55" s="38" t="s">
        <v>9641</v>
      </c>
      <c r="E55" s="38" t="s">
        <v>9642</v>
      </c>
      <c r="F55" s="38" t="s">
        <v>9643</v>
      </c>
      <c r="G55" s="38" t="s">
        <v>9644</v>
      </c>
      <c r="H55" s="38" t="s">
        <v>9645</v>
      </c>
      <c r="I55" s="37" t="s">
        <v>96</v>
      </c>
      <c r="J55" s="38" t="s">
        <v>9646</v>
      </c>
      <c r="K55" s="38"/>
      <c r="L55" s="39" t="s">
        <v>9625</v>
      </c>
      <c r="M55" s="39" t="s">
        <v>29</v>
      </c>
      <c r="N55" s="38" t="s">
        <v>9647</v>
      </c>
      <c r="O55" s="39"/>
      <c r="P55" s="39"/>
    </row>
    <row r="56" spans="1:17" ht="13.2" customHeight="1" x14ac:dyDescent="0.25">
      <c r="A56" s="37">
        <v>54</v>
      </c>
      <c r="B56" s="38" t="s">
        <v>9648</v>
      </c>
      <c r="C56" s="38"/>
      <c r="D56" s="38" t="s">
        <v>9643</v>
      </c>
      <c r="E56" s="38" t="s">
        <v>9644</v>
      </c>
      <c r="F56" s="38" t="s">
        <v>9641</v>
      </c>
      <c r="G56" s="38" t="s">
        <v>9642</v>
      </c>
      <c r="H56" s="38" t="s">
        <v>9649</v>
      </c>
      <c r="I56" s="37" t="s">
        <v>84</v>
      </c>
      <c r="J56" s="38" t="s">
        <v>9650</v>
      </c>
      <c r="K56" s="38"/>
      <c r="L56" s="39" t="s">
        <v>9625</v>
      </c>
      <c r="M56" s="39" t="s">
        <v>29</v>
      </c>
      <c r="N56" s="38" t="s">
        <v>9651</v>
      </c>
      <c r="O56" s="39"/>
      <c r="P56" s="39"/>
    </row>
    <row r="57" spans="1:17" ht="13.2" customHeight="1" x14ac:dyDescent="0.25">
      <c r="A57" s="37">
        <v>55</v>
      </c>
      <c r="B57" s="38" t="s">
        <v>9652</v>
      </c>
      <c r="C57" s="38"/>
      <c r="D57" s="38" t="s">
        <v>9653</v>
      </c>
      <c r="E57" s="38" t="s">
        <v>9654</v>
      </c>
      <c r="F57" s="38" t="s">
        <v>9655</v>
      </c>
      <c r="G57" s="38" t="s">
        <v>9656</v>
      </c>
      <c r="H57" s="38" t="s">
        <v>9657</v>
      </c>
      <c r="I57" s="37" t="s">
        <v>84</v>
      </c>
      <c r="J57" s="38" t="s">
        <v>9658</v>
      </c>
      <c r="K57" s="38"/>
      <c r="L57" s="39" t="s">
        <v>2106</v>
      </c>
      <c r="M57" s="39" t="s">
        <v>29</v>
      </c>
      <c r="N57" s="38" t="s">
        <v>1007</v>
      </c>
      <c r="O57" s="39"/>
      <c r="P57" s="39"/>
    </row>
    <row r="58" spans="1:17" ht="13.2" customHeight="1" x14ac:dyDescent="0.25">
      <c r="A58" s="37">
        <v>56</v>
      </c>
      <c r="B58" s="38" t="s">
        <v>9659</v>
      </c>
      <c r="C58" s="38"/>
      <c r="D58" s="38" t="s">
        <v>9660</v>
      </c>
      <c r="E58" s="38" t="s">
        <v>9661</v>
      </c>
      <c r="F58" s="38" t="s">
        <v>9662</v>
      </c>
      <c r="G58" s="38" t="s">
        <v>9663</v>
      </c>
      <c r="H58" s="38" t="s">
        <v>9664</v>
      </c>
      <c r="I58" s="37" t="s">
        <v>84</v>
      </c>
      <c r="J58" s="38" t="s">
        <v>9665</v>
      </c>
      <c r="K58" s="38"/>
      <c r="L58" s="39" t="s">
        <v>9625</v>
      </c>
      <c r="M58" s="39" t="s">
        <v>29</v>
      </c>
      <c r="N58" s="38" t="s">
        <v>9666</v>
      </c>
      <c r="O58" s="39"/>
      <c r="P58" s="39"/>
    </row>
    <row r="59" spans="1:17" ht="13.2" customHeight="1" x14ac:dyDescent="0.25">
      <c r="A59" s="37">
        <v>57</v>
      </c>
      <c r="B59" s="38" t="s">
        <v>9667</v>
      </c>
      <c r="C59" s="38"/>
      <c r="D59" s="38" t="s">
        <v>9668</v>
      </c>
      <c r="E59" s="38" t="s">
        <v>1962</v>
      </c>
      <c r="F59" s="38" t="s">
        <v>3390</v>
      </c>
      <c r="G59" s="38" t="s">
        <v>158</v>
      </c>
      <c r="H59" s="38" t="s">
        <v>9441</v>
      </c>
      <c r="I59" s="37" t="s">
        <v>84</v>
      </c>
      <c r="J59" s="38" t="s">
        <v>9669</v>
      </c>
      <c r="K59" s="38"/>
      <c r="L59" s="39" t="s">
        <v>9437</v>
      </c>
      <c r="M59" s="39" t="s">
        <v>29</v>
      </c>
      <c r="N59" s="38" t="s">
        <v>1018</v>
      </c>
      <c r="O59" s="39"/>
      <c r="P59" s="39"/>
    </row>
    <row r="60" spans="1:17" ht="13.2" customHeight="1" x14ac:dyDescent="0.25">
      <c r="A60" s="37">
        <v>58</v>
      </c>
      <c r="B60" s="38" t="s">
        <v>9670</v>
      </c>
      <c r="C60" s="38"/>
      <c r="D60" s="38" t="s">
        <v>9671</v>
      </c>
      <c r="E60" s="38" t="s">
        <v>9672</v>
      </c>
      <c r="F60" s="38" t="s">
        <v>9467</v>
      </c>
      <c r="G60" s="38" t="s">
        <v>9673</v>
      </c>
      <c r="H60" s="38" t="s">
        <v>9674</v>
      </c>
      <c r="I60" s="37" t="s">
        <v>90</v>
      </c>
      <c r="J60" s="38" t="s">
        <v>9675</v>
      </c>
      <c r="K60" s="38"/>
      <c r="L60" s="39" t="s">
        <v>9437</v>
      </c>
      <c r="M60" s="39" t="s">
        <v>29</v>
      </c>
      <c r="N60" s="38" t="s">
        <v>5621</v>
      </c>
      <c r="O60" s="39"/>
      <c r="P60" s="39"/>
    </row>
    <row r="61" spans="1:17" ht="13.2" customHeight="1" x14ac:dyDescent="0.25">
      <c r="A61" s="37">
        <v>59</v>
      </c>
      <c r="B61" s="38" t="s">
        <v>9676</v>
      </c>
      <c r="C61" s="38"/>
      <c r="D61" s="38" t="s">
        <v>9677</v>
      </c>
      <c r="E61" s="38" t="s">
        <v>9678</v>
      </c>
      <c r="F61" s="38" t="s">
        <v>9679</v>
      </c>
      <c r="G61" s="38" t="s">
        <v>9680</v>
      </c>
      <c r="H61" s="38" t="s">
        <v>9681</v>
      </c>
      <c r="I61" s="37" t="s">
        <v>123</v>
      </c>
      <c r="J61" s="38" t="s">
        <v>9682</v>
      </c>
      <c r="K61" s="38"/>
      <c r="L61" s="39" t="s">
        <v>9437</v>
      </c>
      <c r="M61" s="39" t="s">
        <v>29</v>
      </c>
      <c r="N61" s="38" t="s">
        <v>9683</v>
      </c>
      <c r="O61" s="39"/>
      <c r="P61" s="39"/>
    </row>
    <row r="62" spans="1:17" ht="13.2" customHeight="1" x14ac:dyDescent="0.25">
      <c r="A62" s="37">
        <v>60</v>
      </c>
      <c r="B62" s="38" t="s">
        <v>9684</v>
      </c>
      <c r="C62" s="38"/>
      <c r="D62" s="38" t="s">
        <v>9685</v>
      </c>
      <c r="E62" s="38" t="s">
        <v>159</v>
      </c>
      <c r="F62" s="38" t="s">
        <v>1694</v>
      </c>
      <c r="G62" s="38" t="s">
        <v>9686</v>
      </c>
      <c r="H62" s="38" t="s">
        <v>9687</v>
      </c>
      <c r="I62" s="37" t="s">
        <v>96</v>
      </c>
      <c r="J62" s="38" t="s">
        <v>9688</v>
      </c>
      <c r="K62" s="38"/>
      <c r="L62" s="39" t="s">
        <v>2106</v>
      </c>
      <c r="M62" s="39" t="s">
        <v>29</v>
      </c>
      <c r="N62" s="38" t="s">
        <v>3155</v>
      </c>
      <c r="O62" s="39"/>
      <c r="P62" s="39"/>
    </row>
    <row r="63" spans="1:17" ht="13.2" customHeight="1" x14ac:dyDescent="0.25">
      <c r="A63" s="37">
        <v>61</v>
      </c>
      <c r="B63" s="38" t="s">
        <v>9689</v>
      </c>
      <c r="C63" s="38"/>
      <c r="D63" s="38" t="s">
        <v>9690</v>
      </c>
      <c r="E63" s="38" t="s">
        <v>9691</v>
      </c>
      <c r="F63" s="38" t="s">
        <v>9692</v>
      </c>
      <c r="G63" s="38" t="s">
        <v>9693</v>
      </c>
      <c r="H63" s="38" t="s">
        <v>9694</v>
      </c>
      <c r="I63" s="37" t="s">
        <v>84</v>
      </c>
      <c r="J63" s="38" t="s">
        <v>9695</v>
      </c>
      <c r="K63" s="38"/>
      <c r="L63" s="39" t="s">
        <v>9437</v>
      </c>
      <c r="M63" s="39" t="s">
        <v>29</v>
      </c>
      <c r="N63" s="38" t="s">
        <v>9696</v>
      </c>
      <c r="O63" s="39"/>
      <c r="P63" s="39"/>
    </row>
    <row r="64" spans="1:17" ht="13.2" customHeight="1" x14ac:dyDescent="0.25">
      <c r="A64" s="37">
        <v>62</v>
      </c>
      <c r="B64" s="38" t="s">
        <v>9697</v>
      </c>
      <c r="C64" s="38"/>
      <c r="D64" s="38" t="s">
        <v>9698</v>
      </c>
      <c r="E64" s="38" t="s">
        <v>9699</v>
      </c>
      <c r="F64" s="38" t="s">
        <v>9700</v>
      </c>
      <c r="G64" s="38" t="s">
        <v>9701</v>
      </c>
      <c r="H64" s="38" t="s">
        <v>9702</v>
      </c>
      <c r="I64" s="37" t="s">
        <v>84</v>
      </c>
      <c r="J64" s="38" t="s">
        <v>9703</v>
      </c>
      <c r="K64" s="38"/>
      <c r="L64" s="39" t="s">
        <v>2106</v>
      </c>
      <c r="M64" s="39" t="s">
        <v>9704</v>
      </c>
      <c r="N64" s="38" t="s">
        <v>9705</v>
      </c>
      <c r="O64" s="39"/>
      <c r="P64" s="39"/>
      <c r="Q64" s="2"/>
    </row>
    <row r="65" spans="1:17" ht="13.2" customHeight="1" x14ac:dyDescent="0.25">
      <c r="A65" s="37">
        <v>63</v>
      </c>
      <c r="B65" s="38" t="s">
        <v>9706</v>
      </c>
      <c r="C65" s="38"/>
      <c r="D65" s="38" t="s">
        <v>9707</v>
      </c>
      <c r="E65" s="38" t="s">
        <v>9329</v>
      </c>
      <c r="F65" s="38" t="s">
        <v>9331</v>
      </c>
      <c r="G65" s="38" t="s">
        <v>9708</v>
      </c>
      <c r="H65" s="38" t="s">
        <v>9709</v>
      </c>
      <c r="I65" s="37" t="s">
        <v>84</v>
      </c>
      <c r="J65" s="38" t="s">
        <v>9710</v>
      </c>
      <c r="K65" s="38"/>
      <c r="L65" s="39" t="s">
        <v>9386</v>
      </c>
      <c r="M65" s="39" t="s">
        <v>9704</v>
      </c>
      <c r="N65" s="38" t="s">
        <v>9711</v>
      </c>
      <c r="O65" s="39"/>
      <c r="P65" s="39"/>
      <c r="Q65" s="2"/>
    </row>
    <row r="66" spans="1:17" ht="13.2" customHeight="1" x14ac:dyDescent="0.25">
      <c r="A66" s="37">
        <v>64</v>
      </c>
      <c r="B66" s="38" t="s">
        <v>9712</v>
      </c>
      <c r="C66" s="38"/>
      <c r="D66" s="38" t="s">
        <v>539</v>
      </c>
      <c r="E66" s="38" t="s">
        <v>276</v>
      </c>
      <c r="F66" s="38" t="s">
        <v>6241</v>
      </c>
      <c r="G66" s="38" t="s">
        <v>9713</v>
      </c>
      <c r="H66" s="38" t="s">
        <v>9714</v>
      </c>
      <c r="I66" s="37" t="s">
        <v>84</v>
      </c>
      <c r="J66" s="38" t="s">
        <v>9715</v>
      </c>
      <c r="K66" s="38"/>
      <c r="L66" s="39" t="s">
        <v>2106</v>
      </c>
      <c r="M66" s="39" t="s">
        <v>9704</v>
      </c>
      <c r="N66" s="38" t="s">
        <v>9716</v>
      </c>
      <c r="O66" s="39"/>
      <c r="P66" s="39"/>
      <c r="Q66" s="2"/>
    </row>
    <row r="67" spans="1:17" ht="13.2" customHeight="1" x14ac:dyDescent="0.25">
      <c r="A67" s="37">
        <v>65</v>
      </c>
      <c r="B67" s="38" t="s">
        <v>9717</v>
      </c>
      <c r="C67" s="38"/>
      <c r="D67" s="38" t="s">
        <v>9718</v>
      </c>
      <c r="E67" s="38" t="s">
        <v>1960</v>
      </c>
      <c r="F67" s="38" t="s">
        <v>9719</v>
      </c>
      <c r="G67" s="38" t="s">
        <v>9720</v>
      </c>
      <c r="H67" s="38" t="s">
        <v>9721</v>
      </c>
      <c r="I67" s="37" t="s">
        <v>84</v>
      </c>
      <c r="J67" s="38" t="s">
        <v>9722</v>
      </c>
      <c r="K67" s="38"/>
      <c r="L67" s="39" t="s">
        <v>2106</v>
      </c>
      <c r="M67" s="39" t="s">
        <v>9704</v>
      </c>
      <c r="N67" s="38" t="s">
        <v>9723</v>
      </c>
      <c r="O67" s="39"/>
      <c r="P67" s="39"/>
      <c r="Q67" s="2"/>
    </row>
    <row r="68" spans="1:17" ht="13.2" customHeight="1" x14ac:dyDescent="0.25">
      <c r="A68" s="37">
        <v>66</v>
      </c>
      <c r="B68" s="38" t="s">
        <v>9724</v>
      </c>
      <c r="C68" s="38"/>
      <c r="D68" s="38" t="s">
        <v>9725</v>
      </c>
      <c r="E68" s="38" t="s">
        <v>9726</v>
      </c>
      <c r="F68" s="38" t="s">
        <v>9727</v>
      </c>
      <c r="G68" s="38" t="s">
        <v>9728</v>
      </c>
      <c r="H68" s="38" t="s">
        <v>9729</v>
      </c>
      <c r="I68" s="37" t="s">
        <v>84</v>
      </c>
      <c r="J68" s="38" t="s">
        <v>9730</v>
      </c>
      <c r="K68" s="38"/>
      <c r="L68" s="39" t="s">
        <v>2106</v>
      </c>
      <c r="M68" s="39" t="s">
        <v>9704</v>
      </c>
      <c r="N68" s="38" t="s">
        <v>9731</v>
      </c>
      <c r="O68" s="39"/>
      <c r="P68" s="39"/>
      <c r="Q68" s="2"/>
    </row>
    <row r="69" spans="1:17" ht="13.2" customHeight="1" x14ac:dyDescent="0.25">
      <c r="A69" s="37">
        <v>67</v>
      </c>
      <c r="B69" s="38" t="s">
        <v>9732</v>
      </c>
      <c r="C69" s="38"/>
      <c r="D69" s="38" t="s">
        <v>9733</v>
      </c>
      <c r="E69" s="38" t="s">
        <v>9734</v>
      </c>
      <c r="F69" s="38" t="s">
        <v>9735</v>
      </c>
      <c r="G69" s="38" t="s">
        <v>9736</v>
      </c>
      <c r="H69" s="38" t="s">
        <v>9737</v>
      </c>
      <c r="I69" s="37" t="s">
        <v>84</v>
      </c>
      <c r="J69" s="38" t="s">
        <v>9738</v>
      </c>
      <c r="K69" s="38"/>
      <c r="L69" s="39" t="s">
        <v>519</v>
      </c>
      <c r="M69" s="39" t="s">
        <v>9733</v>
      </c>
      <c r="N69" s="38" t="s">
        <v>9739</v>
      </c>
      <c r="O69" s="39"/>
      <c r="P69" s="39"/>
    </row>
    <row r="70" spans="1:17" ht="13.2" customHeight="1" x14ac:dyDescent="0.25">
      <c r="A70" s="37">
        <v>68</v>
      </c>
      <c r="B70" s="38" t="s">
        <v>9740</v>
      </c>
      <c r="C70" s="38"/>
      <c r="D70" s="38" t="s">
        <v>9733</v>
      </c>
      <c r="E70" s="38" t="s">
        <v>9737</v>
      </c>
      <c r="F70" s="38" t="s">
        <v>9741</v>
      </c>
      <c r="G70" s="38" t="s">
        <v>9742</v>
      </c>
      <c r="H70" s="38" t="s">
        <v>9743</v>
      </c>
      <c r="I70" s="37" t="s">
        <v>84</v>
      </c>
      <c r="J70" s="38" t="s">
        <v>9744</v>
      </c>
      <c r="K70" s="38"/>
      <c r="L70" s="39" t="s">
        <v>2106</v>
      </c>
      <c r="M70" s="39" t="s">
        <v>9733</v>
      </c>
      <c r="N70" s="38" t="s">
        <v>9745</v>
      </c>
      <c r="O70" s="39"/>
      <c r="P70" s="39"/>
    </row>
    <row r="71" spans="1:17" ht="13.2" customHeight="1" x14ac:dyDescent="0.25">
      <c r="A71" s="37">
        <v>69</v>
      </c>
      <c r="B71" s="38" t="s">
        <v>9746</v>
      </c>
      <c r="C71" s="38"/>
      <c r="D71" s="38" t="s">
        <v>9733</v>
      </c>
      <c r="E71" s="38" t="s">
        <v>9743</v>
      </c>
      <c r="F71" s="38" t="s">
        <v>9747</v>
      </c>
      <c r="G71" s="38" t="s">
        <v>9748</v>
      </c>
      <c r="H71" s="38" t="s">
        <v>9749</v>
      </c>
      <c r="I71" s="37" t="s">
        <v>84</v>
      </c>
      <c r="J71" s="38" t="s">
        <v>9750</v>
      </c>
      <c r="K71" s="38"/>
      <c r="L71" s="39" t="s">
        <v>519</v>
      </c>
      <c r="M71" s="39" t="s">
        <v>9733</v>
      </c>
      <c r="N71" s="38" t="s">
        <v>9751</v>
      </c>
      <c r="O71" s="39"/>
      <c r="P71" s="39"/>
    </row>
    <row r="72" spans="1:17" ht="13.2" customHeight="1" x14ac:dyDescent="0.25">
      <c r="A72" s="37">
        <v>70</v>
      </c>
      <c r="B72" s="38" t="s">
        <v>9752</v>
      </c>
      <c r="C72" s="38"/>
      <c r="D72" s="38" t="s">
        <v>9733</v>
      </c>
      <c r="E72" s="38" t="s">
        <v>9749</v>
      </c>
      <c r="F72" s="38" t="s">
        <v>9753</v>
      </c>
      <c r="G72" s="38" t="s">
        <v>9754</v>
      </c>
      <c r="H72" s="38" t="s">
        <v>9755</v>
      </c>
      <c r="I72" s="37" t="s">
        <v>84</v>
      </c>
      <c r="J72" s="38" t="s">
        <v>9756</v>
      </c>
      <c r="K72" s="38"/>
      <c r="L72" s="39" t="s">
        <v>519</v>
      </c>
      <c r="M72" s="39" t="s">
        <v>9733</v>
      </c>
      <c r="N72" s="38" t="s">
        <v>9757</v>
      </c>
      <c r="O72" s="39"/>
      <c r="P72" s="39"/>
    </row>
    <row r="73" spans="1:17" ht="13.2" customHeight="1" x14ac:dyDescent="0.25">
      <c r="A73" s="37">
        <v>71</v>
      </c>
      <c r="B73" s="38" t="s">
        <v>9758</v>
      </c>
      <c r="C73" s="38"/>
      <c r="D73" s="38" t="s">
        <v>9733</v>
      </c>
      <c r="E73" s="38" t="s">
        <v>9755</v>
      </c>
      <c r="F73" s="38" t="s">
        <v>9734</v>
      </c>
      <c r="G73" s="38" t="s">
        <v>9735</v>
      </c>
      <c r="H73" s="38" t="s">
        <v>9736</v>
      </c>
      <c r="I73" s="37" t="s">
        <v>84</v>
      </c>
      <c r="J73" s="38" t="s">
        <v>9759</v>
      </c>
      <c r="K73" s="38"/>
      <c r="L73" s="39" t="s">
        <v>519</v>
      </c>
      <c r="M73" s="39" t="s">
        <v>9733</v>
      </c>
      <c r="N73" s="38" t="s">
        <v>9760</v>
      </c>
      <c r="O73" s="39"/>
      <c r="P73" s="39"/>
    </row>
    <row r="74" spans="1:17" ht="13.2" customHeight="1" x14ac:dyDescent="0.25">
      <c r="A74" s="37">
        <v>72</v>
      </c>
      <c r="B74" s="38" t="s">
        <v>9761</v>
      </c>
      <c r="C74" s="38"/>
      <c r="D74" s="38" t="s">
        <v>9733</v>
      </c>
      <c r="E74" s="38" t="s">
        <v>9736</v>
      </c>
      <c r="F74" s="38" t="s">
        <v>9737</v>
      </c>
      <c r="G74" s="38" t="s">
        <v>9741</v>
      </c>
      <c r="H74" s="38" t="s">
        <v>9742</v>
      </c>
      <c r="I74" s="37" t="s">
        <v>84</v>
      </c>
      <c r="J74" s="38" t="s">
        <v>9762</v>
      </c>
      <c r="K74" s="38"/>
      <c r="L74" s="39" t="s">
        <v>2106</v>
      </c>
      <c r="M74" s="39" t="s">
        <v>9733</v>
      </c>
      <c r="N74" s="38" t="s">
        <v>9763</v>
      </c>
      <c r="O74" s="39"/>
      <c r="P74" s="39"/>
    </row>
    <row r="75" spans="1:17" ht="13.2" customHeight="1" x14ac:dyDescent="0.25">
      <c r="A75" s="37">
        <v>73</v>
      </c>
      <c r="B75" s="38" t="s">
        <v>9764</v>
      </c>
      <c r="C75" s="38"/>
      <c r="D75" s="38" t="s">
        <v>9733</v>
      </c>
      <c r="E75" s="38" t="s">
        <v>9742</v>
      </c>
      <c r="F75" s="38" t="s">
        <v>9743</v>
      </c>
      <c r="G75" s="38" t="s">
        <v>9747</v>
      </c>
      <c r="H75" s="38" t="s">
        <v>9748</v>
      </c>
      <c r="I75" s="37" t="s">
        <v>84</v>
      </c>
      <c r="J75" s="38" t="s">
        <v>9765</v>
      </c>
      <c r="K75" s="38"/>
      <c r="L75" s="39" t="s">
        <v>2106</v>
      </c>
      <c r="M75" s="39" t="s">
        <v>9733</v>
      </c>
      <c r="N75" s="38" t="s">
        <v>4814</v>
      </c>
      <c r="O75" s="39"/>
      <c r="P75" s="39"/>
    </row>
    <row r="76" spans="1:17" ht="13.2" customHeight="1" x14ac:dyDescent="0.25">
      <c r="A76" s="37">
        <v>74</v>
      </c>
      <c r="B76" s="38" t="s">
        <v>9766</v>
      </c>
      <c r="C76" s="38"/>
      <c r="D76" s="38" t="s">
        <v>9733</v>
      </c>
      <c r="E76" s="38" t="s">
        <v>9748</v>
      </c>
      <c r="F76" s="38" t="s">
        <v>9749</v>
      </c>
      <c r="G76" s="38" t="s">
        <v>9753</v>
      </c>
      <c r="H76" s="38" t="s">
        <v>9754</v>
      </c>
      <c r="I76" s="37" t="s">
        <v>84</v>
      </c>
      <c r="J76" s="38" t="s">
        <v>9767</v>
      </c>
      <c r="K76" s="38"/>
      <c r="L76" s="39" t="s">
        <v>2106</v>
      </c>
      <c r="M76" s="39" t="s">
        <v>9733</v>
      </c>
      <c r="N76" s="38" t="s">
        <v>7340</v>
      </c>
      <c r="O76" s="39"/>
      <c r="P76" s="39"/>
    </row>
    <row r="77" spans="1:17" ht="13.2" customHeight="1" x14ac:dyDescent="0.25">
      <c r="A77" s="37">
        <v>75</v>
      </c>
      <c r="B77" s="38" t="s">
        <v>9768</v>
      </c>
      <c r="C77" s="38"/>
      <c r="D77" s="38" t="s">
        <v>9733</v>
      </c>
      <c r="E77" s="38" t="s">
        <v>9754</v>
      </c>
      <c r="F77" s="38" t="s">
        <v>9755</v>
      </c>
      <c r="G77" s="38" t="s">
        <v>9734</v>
      </c>
      <c r="H77" s="38" t="s">
        <v>9735</v>
      </c>
      <c r="I77" s="37" t="s">
        <v>84</v>
      </c>
      <c r="J77" s="38" t="s">
        <v>9769</v>
      </c>
      <c r="K77" s="38"/>
      <c r="L77" s="39" t="s">
        <v>2106</v>
      </c>
      <c r="M77" s="39" t="s">
        <v>9733</v>
      </c>
      <c r="N77" s="38" t="s">
        <v>9770</v>
      </c>
      <c r="O77" s="39"/>
      <c r="P77" s="39"/>
    </row>
    <row r="78" spans="1:17" ht="13.2" customHeight="1" x14ac:dyDescent="0.25">
      <c r="A78" s="37">
        <v>76</v>
      </c>
      <c r="B78" s="38" t="s">
        <v>9771</v>
      </c>
      <c r="C78" s="38"/>
      <c r="D78" s="38" t="s">
        <v>9733</v>
      </c>
      <c r="E78" s="38" t="s">
        <v>9735</v>
      </c>
      <c r="F78" s="38" t="s">
        <v>9736</v>
      </c>
      <c r="G78" s="38" t="s">
        <v>9737</v>
      </c>
      <c r="H78" s="38" t="s">
        <v>9741</v>
      </c>
      <c r="I78" s="37" t="s">
        <v>84</v>
      </c>
      <c r="J78" s="38" t="s">
        <v>9772</v>
      </c>
      <c r="K78" s="38"/>
      <c r="L78" s="39" t="s">
        <v>2106</v>
      </c>
      <c r="M78" s="39" t="s">
        <v>9733</v>
      </c>
      <c r="N78" s="38" t="s">
        <v>6072</v>
      </c>
      <c r="O78" s="39"/>
      <c r="P78" s="39"/>
    </row>
    <row r="79" spans="1:17" ht="13.2" customHeight="1" x14ac:dyDescent="0.25">
      <c r="A79" s="37">
        <v>77</v>
      </c>
      <c r="B79" s="38" t="s">
        <v>9773</v>
      </c>
      <c r="C79" s="38"/>
      <c r="D79" s="38" t="s">
        <v>9733</v>
      </c>
      <c r="E79" s="38" t="s">
        <v>9741</v>
      </c>
      <c r="F79" s="38" t="s">
        <v>9742</v>
      </c>
      <c r="G79" s="38" t="s">
        <v>9743</v>
      </c>
      <c r="H79" s="38" t="s">
        <v>9747</v>
      </c>
      <c r="I79" s="37" t="s">
        <v>84</v>
      </c>
      <c r="J79" s="38" t="s">
        <v>9774</v>
      </c>
      <c r="K79" s="38"/>
      <c r="L79" s="39" t="s">
        <v>2106</v>
      </c>
      <c r="M79" s="39" t="s">
        <v>9733</v>
      </c>
      <c r="N79" s="38" t="s">
        <v>9775</v>
      </c>
      <c r="O79" s="39"/>
      <c r="P79" s="39"/>
    </row>
    <row r="80" spans="1:17" ht="13.2" customHeight="1" x14ac:dyDescent="0.25">
      <c r="A80" s="37">
        <v>78</v>
      </c>
      <c r="B80" s="38" t="s">
        <v>9776</v>
      </c>
      <c r="C80" s="38"/>
      <c r="D80" s="38" t="s">
        <v>9733</v>
      </c>
      <c r="E80" s="38" t="s">
        <v>9747</v>
      </c>
      <c r="F80" s="38" t="s">
        <v>9748</v>
      </c>
      <c r="G80" s="38" t="s">
        <v>9749</v>
      </c>
      <c r="H80" s="38" t="s">
        <v>9753</v>
      </c>
      <c r="I80" s="37" t="s">
        <v>84</v>
      </c>
      <c r="J80" s="38" t="s">
        <v>9777</v>
      </c>
      <c r="K80" s="38"/>
      <c r="L80" s="39" t="s">
        <v>2106</v>
      </c>
      <c r="M80" s="39" t="s">
        <v>9733</v>
      </c>
      <c r="N80" s="38" t="s">
        <v>9778</v>
      </c>
      <c r="O80" s="39"/>
      <c r="P80" s="39"/>
    </row>
    <row r="81" spans="1:17" ht="13.2" customHeight="1" x14ac:dyDescent="0.25">
      <c r="A81" s="37">
        <v>79</v>
      </c>
      <c r="B81" s="38" t="s">
        <v>9779</v>
      </c>
      <c r="C81" s="38"/>
      <c r="D81" s="38" t="s">
        <v>9780</v>
      </c>
      <c r="E81" s="38" t="s">
        <v>9781</v>
      </c>
      <c r="F81" s="38" t="s">
        <v>9782</v>
      </c>
      <c r="G81" s="38" t="s">
        <v>9783</v>
      </c>
      <c r="H81" s="38" t="s">
        <v>9784</v>
      </c>
      <c r="I81" s="37" t="s">
        <v>84</v>
      </c>
      <c r="J81" s="38" t="s">
        <v>9785</v>
      </c>
      <c r="K81" s="38"/>
      <c r="L81" s="39" t="s">
        <v>2106</v>
      </c>
      <c r="M81" s="39" t="s">
        <v>9733</v>
      </c>
      <c r="N81" s="38" t="s">
        <v>9786</v>
      </c>
      <c r="O81" s="39"/>
      <c r="P81" s="39"/>
      <c r="Q81" s="2"/>
    </row>
    <row r="82" spans="1:17" ht="13.2" customHeight="1" x14ac:dyDescent="0.25">
      <c r="A82" s="37">
        <v>80</v>
      </c>
      <c r="B82" s="38" t="s">
        <v>9787</v>
      </c>
      <c r="C82" s="38"/>
      <c r="D82" s="38" t="s">
        <v>9788</v>
      </c>
      <c r="E82" s="38" t="s">
        <v>9789</v>
      </c>
      <c r="F82" s="38" t="s">
        <v>9790</v>
      </c>
      <c r="G82" s="38" t="s">
        <v>9791</v>
      </c>
      <c r="H82" s="38" t="s">
        <v>9792</v>
      </c>
      <c r="I82" s="37" t="s">
        <v>84</v>
      </c>
      <c r="J82" s="38" t="s">
        <v>9793</v>
      </c>
      <c r="K82" s="38"/>
      <c r="L82" s="39" t="s">
        <v>2106</v>
      </c>
      <c r="M82" s="39" t="s">
        <v>9733</v>
      </c>
      <c r="N82" s="38" t="s">
        <v>9794</v>
      </c>
      <c r="O82" s="39"/>
      <c r="P82" s="39"/>
      <c r="Q82" s="2"/>
    </row>
    <row r="83" spans="1:17" ht="13.2" customHeight="1" x14ac:dyDescent="0.25">
      <c r="A83" s="37">
        <v>81</v>
      </c>
      <c r="B83" s="38" t="s">
        <v>9795</v>
      </c>
      <c r="C83" s="38"/>
      <c r="D83" s="38" t="s">
        <v>9733</v>
      </c>
      <c r="E83" s="38" t="s">
        <v>9737</v>
      </c>
      <c r="F83" s="38" t="s">
        <v>9741</v>
      </c>
      <c r="G83" s="38" t="s">
        <v>9742</v>
      </c>
      <c r="H83" s="38" t="s">
        <v>9743</v>
      </c>
      <c r="I83" s="37" t="s">
        <v>84</v>
      </c>
      <c r="J83" s="38" t="s">
        <v>9796</v>
      </c>
      <c r="K83" s="38"/>
      <c r="L83" s="39" t="s">
        <v>9797</v>
      </c>
      <c r="M83" s="39" t="s">
        <v>9733</v>
      </c>
      <c r="N83" s="38" t="s">
        <v>9798</v>
      </c>
      <c r="O83" s="39"/>
      <c r="P83" s="39"/>
    </row>
    <row r="84" spans="1:17" ht="13.2" customHeight="1" x14ac:dyDescent="0.25">
      <c r="A84" s="37">
        <v>82</v>
      </c>
      <c r="B84" s="38" t="s">
        <v>9799</v>
      </c>
      <c r="C84" s="38"/>
      <c r="D84" s="38" t="s">
        <v>9733</v>
      </c>
      <c r="E84" s="38" t="s">
        <v>9800</v>
      </c>
      <c r="F84" s="38" t="s">
        <v>9801</v>
      </c>
      <c r="G84" s="38" t="s">
        <v>9748</v>
      </c>
      <c r="H84" s="38" t="s">
        <v>9749</v>
      </c>
      <c r="I84" s="37" t="s">
        <v>84</v>
      </c>
      <c r="J84" s="38" t="s">
        <v>9802</v>
      </c>
      <c r="K84" s="38"/>
      <c r="L84" s="39" t="s">
        <v>2106</v>
      </c>
      <c r="M84" s="39" t="s">
        <v>9733</v>
      </c>
      <c r="N84" s="38" t="s">
        <v>9803</v>
      </c>
      <c r="O84" s="39"/>
      <c r="P84" s="39"/>
    </row>
    <row r="85" spans="1:17" ht="13.2" customHeight="1" x14ac:dyDescent="0.25">
      <c r="A85" s="37">
        <v>83</v>
      </c>
      <c r="B85" s="38" t="s">
        <v>9804</v>
      </c>
      <c r="C85" s="38"/>
      <c r="D85" s="38" t="s">
        <v>9805</v>
      </c>
      <c r="E85" s="38" t="s">
        <v>9317</v>
      </c>
      <c r="F85" s="38" t="s">
        <v>9806</v>
      </c>
      <c r="G85" s="38" t="s">
        <v>4323</v>
      </c>
      <c r="H85" s="38" t="s">
        <v>2225</v>
      </c>
      <c r="I85" s="37" t="s">
        <v>84</v>
      </c>
      <c r="J85" s="38" t="s">
        <v>9807</v>
      </c>
      <c r="K85" s="38"/>
      <c r="L85" s="39" t="s">
        <v>519</v>
      </c>
      <c r="M85" s="39" t="s">
        <v>29</v>
      </c>
      <c r="N85" s="38" t="s">
        <v>6131</v>
      </c>
      <c r="O85" s="39"/>
      <c r="P85" s="39"/>
    </row>
    <row r="86" spans="1:17" ht="13.2" customHeight="1" x14ac:dyDescent="0.25">
      <c r="A86" s="37">
        <v>84</v>
      </c>
      <c r="B86" s="38" t="s">
        <v>9808</v>
      </c>
      <c r="C86" s="38"/>
      <c r="D86" s="38" t="s">
        <v>9809</v>
      </c>
      <c r="E86" s="38" t="s">
        <v>9781</v>
      </c>
      <c r="F86" s="38" t="s">
        <v>9810</v>
      </c>
      <c r="G86" s="38" t="s">
        <v>3181</v>
      </c>
      <c r="H86" s="38" t="s">
        <v>3185</v>
      </c>
      <c r="I86" s="37" t="s">
        <v>84</v>
      </c>
      <c r="J86" s="38" t="s">
        <v>9811</v>
      </c>
      <c r="K86" s="38"/>
      <c r="L86" s="39" t="s">
        <v>519</v>
      </c>
      <c r="M86" s="39" t="s">
        <v>29</v>
      </c>
      <c r="N86" s="38" t="s">
        <v>9812</v>
      </c>
      <c r="O86" s="39"/>
      <c r="P86" s="39"/>
    </row>
    <row r="87" spans="1:17" ht="13.2" customHeight="1" x14ac:dyDescent="0.25">
      <c r="A87" s="37">
        <v>85</v>
      </c>
      <c r="B87" s="38" t="s">
        <v>9813</v>
      </c>
      <c r="C87" s="38"/>
      <c r="D87" s="38" t="s">
        <v>9814</v>
      </c>
      <c r="E87" s="38" t="s">
        <v>9815</v>
      </c>
      <c r="F87" s="38" t="s">
        <v>9816</v>
      </c>
      <c r="G87" s="38" t="s">
        <v>8748</v>
      </c>
      <c r="H87" s="38" t="s">
        <v>9817</v>
      </c>
      <c r="I87" s="37" t="s">
        <v>84</v>
      </c>
      <c r="J87" s="38" t="s">
        <v>9818</v>
      </c>
      <c r="K87" s="38"/>
      <c r="L87" s="39" t="s">
        <v>2106</v>
      </c>
      <c r="M87" s="39" t="s">
        <v>29</v>
      </c>
      <c r="N87" s="38" t="s">
        <v>9819</v>
      </c>
      <c r="O87" s="39"/>
      <c r="P87" s="39"/>
    </row>
    <row r="88" spans="1:17" ht="13.2" customHeight="1" x14ac:dyDescent="0.25">
      <c r="A88" s="37">
        <v>86</v>
      </c>
      <c r="B88" s="38" t="s">
        <v>9820</v>
      </c>
      <c r="C88" s="38"/>
      <c r="D88" s="38" t="s">
        <v>9741</v>
      </c>
      <c r="E88" s="38" t="s">
        <v>9742</v>
      </c>
      <c r="F88" s="38" t="s">
        <v>9743</v>
      </c>
      <c r="G88" s="38" t="s">
        <v>9747</v>
      </c>
      <c r="H88" s="38" t="s">
        <v>9748</v>
      </c>
      <c r="I88" s="37" t="s">
        <v>84</v>
      </c>
      <c r="J88" s="38" t="s">
        <v>9821</v>
      </c>
      <c r="K88" s="38"/>
      <c r="L88" s="39" t="s">
        <v>519</v>
      </c>
      <c r="M88" s="39" t="s">
        <v>29</v>
      </c>
      <c r="N88" s="38" t="s">
        <v>9822</v>
      </c>
      <c r="O88" s="39"/>
      <c r="P88" s="39"/>
    </row>
    <row r="89" spans="1:17" ht="13.2" customHeight="1" x14ac:dyDescent="0.25">
      <c r="A89" s="37">
        <v>87</v>
      </c>
      <c r="B89" s="38" t="s">
        <v>9823</v>
      </c>
      <c r="C89" s="38"/>
      <c r="D89" s="38" t="s">
        <v>9824</v>
      </c>
      <c r="E89" s="38" t="s">
        <v>9825</v>
      </c>
      <c r="F89" s="38" t="s">
        <v>9826</v>
      </c>
      <c r="G89" s="38" t="s">
        <v>9827</v>
      </c>
      <c r="H89" s="38" t="s">
        <v>9828</v>
      </c>
      <c r="I89" s="37" t="s">
        <v>84</v>
      </c>
      <c r="J89" s="38" t="s">
        <v>9829</v>
      </c>
      <c r="K89" s="38"/>
      <c r="L89" s="39" t="s">
        <v>519</v>
      </c>
      <c r="M89" s="39" t="s">
        <v>29</v>
      </c>
      <c r="N89" s="38" t="s">
        <v>9830</v>
      </c>
      <c r="O89" s="39"/>
      <c r="P89" s="39"/>
    </row>
    <row r="90" spans="1:17" ht="13.2" customHeight="1" x14ac:dyDescent="0.25">
      <c r="A90" s="37">
        <v>88</v>
      </c>
      <c r="B90" s="38" t="s">
        <v>9831</v>
      </c>
      <c r="C90" s="38"/>
      <c r="D90" s="38" t="s">
        <v>459</v>
      </c>
      <c r="E90" s="38" t="s">
        <v>9360</v>
      </c>
      <c r="F90" s="38" t="s">
        <v>559</v>
      </c>
      <c r="G90" s="38" t="s">
        <v>276</v>
      </c>
      <c r="H90" s="38" t="s">
        <v>9336</v>
      </c>
      <c r="I90" s="37" t="s">
        <v>84</v>
      </c>
      <c r="J90" s="38" t="s">
        <v>9832</v>
      </c>
      <c r="K90" s="38"/>
      <c r="L90" s="39" t="s">
        <v>2106</v>
      </c>
      <c r="M90" s="39" t="s">
        <v>29</v>
      </c>
      <c r="N90" s="38" t="s">
        <v>9833</v>
      </c>
      <c r="O90" s="39"/>
      <c r="P90" s="39"/>
    </row>
    <row r="91" spans="1:17" ht="13.2" customHeight="1" x14ac:dyDescent="0.25">
      <c r="A91" s="37">
        <v>89</v>
      </c>
      <c r="B91" s="38" t="s">
        <v>9834</v>
      </c>
      <c r="C91" s="38"/>
      <c r="D91" s="38" t="s">
        <v>9734</v>
      </c>
      <c r="E91" s="38" t="s">
        <v>9735</v>
      </c>
      <c r="F91" s="38" t="s">
        <v>9736</v>
      </c>
      <c r="G91" s="38" t="s">
        <v>9737</v>
      </c>
      <c r="H91" s="38" t="s">
        <v>781</v>
      </c>
      <c r="I91" s="37" t="s">
        <v>84</v>
      </c>
      <c r="J91" s="38" t="s">
        <v>9835</v>
      </c>
      <c r="K91" s="38"/>
      <c r="L91" s="39" t="s">
        <v>519</v>
      </c>
      <c r="M91" s="39" t="s">
        <v>29</v>
      </c>
      <c r="N91" s="38" t="s">
        <v>9836</v>
      </c>
      <c r="O91" s="39"/>
      <c r="P91" s="39"/>
    </row>
    <row r="92" spans="1:17" ht="13.2" customHeight="1" x14ac:dyDescent="0.25">
      <c r="A92" s="37">
        <v>90</v>
      </c>
      <c r="B92" s="38" t="s">
        <v>9837</v>
      </c>
      <c r="C92" s="38"/>
      <c r="D92" s="38" t="s">
        <v>9838</v>
      </c>
      <c r="E92" s="38" t="s">
        <v>9839</v>
      </c>
      <c r="F92" s="38" t="s">
        <v>9840</v>
      </c>
      <c r="G92" s="38" t="s">
        <v>5489</v>
      </c>
      <c r="H92" s="38" t="s">
        <v>9841</v>
      </c>
      <c r="I92" s="37" t="s">
        <v>84</v>
      </c>
      <c r="J92" s="38" t="s">
        <v>9842</v>
      </c>
      <c r="K92" s="38"/>
      <c r="L92" s="39" t="s">
        <v>519</v>
      </c>
      <c r="M92" s="39" t="s">
        <v>29</v>
      </c>
      <c r="N92" s="38" t="s">
        <v>9843</v>
      </c>
      <c r="O92" s="39"/>
      <c r="P92" s="39"/>
    </row>
    <row r="93" spans="1:17" ht="13.2" customHeight="1" x14ac:dyDescent="0.25">
      <c r="A93" s="37">
        <v>91</v>
      </c>
      <c r="B93" s="38" t="s">
        <v>9844</v>
      </c>
      <c r="C93" s="38"/>
      <c r="D93" s="38" t="s">
        <v>9845</v>
      </c>
      <c r="E93" s="38" t="s">
        <v>9846</v>
      </c>
      <c r="F93" s="38" t="s">
        <v>9847</v>
      </c>
      <c r="G93" s="38" t="s">
        <v>9848</v>
      </c>
      <c r="H93" s="38" t="s">
        <v>9849</v>
      </c>
      <c r="I93" s="37" t="s">
        <v>84</v>
      </c>
      <c r="J93" s="38" t="s">
        <v>9850</v>
      </c>
      <c r="K93" s="38"/>
      <c r="L93" s="39" t="s">
        <v>519</v>
      </c>
      <c r="M93" s="39" t="s">
        <v>29</v>
      </c>
      <c r="N93" s="38" t="s">
        <v>9851</v>
      </c>
      <c r="O93" s="39"/>
      <c r="P93" s="39"/>
    </row>
    <row r="94" spans="1:17" ht="13.2" customHeight="1" x14ac:dyDescent="0.25">
      <c r="A94" s="37">
        <v>92</v>
      </c>
      <c r="B94" s="38" t="s">
        <v>9852</v>
      </c>
      <c r="C94" s="38"/>
      <c r="D94" s="38" t="s">
        <v>9853</v>
      </c>
      <c r="E94" s="38" t="s">
        <v>9840</v>
      </c>
      <c r="F94" s="38" t="s">
        <v>9854</v>
      </c>
      <c r="G94" s="38" t="s">
        <v>9839</v>
      </c>
      <c r="H94" s="38" t="s">
        <v>9718</v>
      </c>
      <c r="I94" s="37" t="s">
        <v>84</v>
      </c>
      <c r="J94" s="38" t="s">
        <v>9855</v>
      </c>
      <c r="K94" s="38"/>
      <c r="L94" s="39" t="s">
        <v>519</v>
      </c>
      <c r="M94" s="39" t="s">
        <v>29</v>
      </c>
      <c r="N94" s="38" t="s">
        <v>9856</v>
      </c>
      <c r="O94" s="39"/>
      <c r="P94" s="39"/>
    </row>
    <row r="95" spans="1:17" ht="13.2" customHeight="1" x14ac:dyDescent="0.25">
      <c r="A95" s="37">
        <v>93</v>
      </c>
      <c r="B95" s="38" t="s">
        <v>9857</v>
      </c>
      <c r="C95" s="38"/>
      <c r="D95" s="38" t="s">
        <v>9858</v>
      </c>
      <c r="E95" s="38" t="s">
        <v>9859</v>
      </c>
      <c r="F95" s="38" t="s">
        <v>9860</v>
      </c>
      <c r="G95" s="38" t="s">
        <v>9861</v>
      </c>
      <c r="H95" s="38" t="s">
        <v>781</v>
      </c>
      <c r="I95" s="37" t="s">
        <v>84</v>
      </c>
      <c r="J95" s="38" t="s">
        <v>9862</v>
      </c>
      <c r="K95" s="38"/>
      <c r="L95" s="39" t="s">
        <v>519</v>
      </c>
      <c r="M95" s="39" t="s">
        <v>29</v>
      </c>
      <c r="N95" s="38" t="s">
        <v>9863</v>
      </c>
      <c r="O95" s="39"/>
      <c r="P95" s="39"/>
    </row>
    <row r="96" spans="1:17" ht="13.2" customHeight="1" x14ac:dyDescent="0.25">
      <c r="A96" s="37">
        <v>94</v>
      </c>
      <c r="B96" s="38" t="s">
        <v>9864</v>
      </c>
      <c r="C96" s="38"/>
      <c r="D96" s="38" t="s">
        <v>9736</v>
      </c>
      <c r="E96" s="38" t="s">
        <v>9737</v>
      </c>
      <c r="F96" s="38" t="s">
        <v>9741</v>
      </c>
      <c r="G96" s="38" t="s">
        <v>9742</v>
      </c>
      <c r="H96" s="38" t="s">
        <v>9743</v>
      </c>
      <c r="I96" s="37" t="s">
        <v>84</v>
      </c>
      <c r="J96" s="38" t="s">
        <v>9865</v>
      </c>
      <c r="K96" s="38"/>
      <c r="L96" s="39" t="s">
        <v>9437</v>
      </c>
      <c r="M96" s="39" t="s">
        <v>29</v>
      </c>
      <c r="N96" s="38" t="s">
        <v>9866</v>
      </c>
      <c r="O96" s="39"/>
      <c r="P96" s="39"/>
    </row>
    <row r="97" spans="1:16" ht="13.2" customHeight="1" x14ac:dyDescent="0.25">
      <c r="A97" s="37">
        <v>95</v>
      </c>
      <c r="B97" s="38" t="s">
        <v>9867</v>
      </c>
      <c r="C97" s="38"/>
      <c r="D97" s="38" t="s">
        <v>9868</v>
      </c>
      <c r="E97" s="38" t="s">
        <v>9869</v>
      </c>
      <c r="F97" s="38" t="s">
        <v>9870</v>
      </c>
      <c r="G97" s="38" t="s">
        <v>9871</v>
      </c>
      <c r="H97" s="38" t="s">
        <v>9872</v>
      </c>
      <c r="I97" s="37" t="s">
        <v>84</v>
      </c>
      <c r="J97" s="38" t="s">
        <v>9873</v>
      </c>
      <c r="K97" s="38"/>
      <c r="L97" s="39" t="s">
        <v>519</v>
      </c>
      <c r="M97" s="39" t="s">
        <v>29</v>
      </c>
      <c r="N97" s="38" t="s">
        <v>9874</v>
      </c>
      <c r="O97" s="39"/>
      <c r="P97" s="39"/>
    </row>
    <row r="98" spans="1:16" ht="13.2" customHeight="1" x14ac:dyDescent="0.25">
      <c r="A98" s="37">
        <v>96</v>
      </c>
      <c r="B98" s="38" t="s">
        <v>9875</v>
      </c>
      <c r="C98" s="38"/>
      <c r="D98" s="38" t="s">
        <v>9133</v>
      </c>
      <c r="E98" s="38" t="s">
        <v>8137</v>
      </c>
      <c r="F98" s="38" t="s">
        <v>5033</v>
      </c>
      <c r="G98" s="38" t="s">
        <v>9876</v>
      </c>
      <c r="H98" s="38" t="s">
        <v>9877</v>
      </c>
      <c r="I98" s="37" t="s">
        <v>84</v>
      </c>
      <c r="J98" s="38" t="s">
        <v>9878</v>
      </c>
      <c r="K98" s="38"/>
      <c r="L98" s="39" t="s">
        <v>519</v>
      </c>
      <c r="M98" s="39" t="s">
        <v>29</v>
      </c>
      <c r="N98" s="38" t="s">
        <v>9879</v>
      </c>
      <c r="O98" s="39"/>
      <c r="P98" s="39"/>
    </row>
    <row r="99" spans="1:16" ht="13.2" customHeight="1" x14ac:dyDescent="0.25">
      <c r="A99" s="37">
        <v>97</v>
      </c>
      <c r="B99" s="38" t="s">
        <v>9880</v>
      </c>
      <c r="C99" s="38"/>
      <c r="D99" s="38" t="s">
        <v>9754</v>
      </c>
      <c r="E99" s="38" t="s">
        <v>9755</v>
      </c>
      <c r="F99" s="38" t="s">
        <v>9734</v>
      </c>
      <c r="G99" s="38" t="s">
        <v>9735</v>
      </c>
      <c r="H99" s="38" t="s">
        <v>9736</v>
      </c>
      <c r="I99" s="37" t="s">
        <v>84</v>
      </c>
      <c r="J99" s="38" t="s">
        <v>9881</v>
      </c>
      <c r="K99" s="38"/>
      <c r="L99" s="39" t="s">
        <v>519</v>
      </c>
      <c r="M99" s="39" t="s">
        <v>29</v>
      </c>
      <c r="N99" s="38" t="s">
        <v>3595</v>
      </c>
      <c r="O99" s="39"/>
      <c r="P99" s="39"/>
    </row>
    <row r="100" spans="1:16" ht="13.2" customHeight="1" x14ac:dyDescent="0.25">
      <c r="A100" s="37">
        <v>98</v>
      </c>
      <c r="B100" s="38" t="s">
        <v>9882</v>
      </c>
      <c r="C100" s="38"/>
      <c r="D100" s="38" t="s">
        <v>9735</v>
      </c>
      <c r="E100" s="38" t="s">
        <v>9736</v>
      </c>
      <c r="F100" s="38" t="s">
        <v>9737</v>
      </c>
      <c r="G100" s="38" t="s">
        <v>9741</v>
      </c>
      <c r="H100" s="38" t="s">
        <v>9742</v>
      </c>
      <c r="I100" s="37" t="s">
        <v>84</v>
      </c>
      <c r="J100" s="38" t="s">
        <v>9883</v>
      </c>
      <c r="K100" s="38"/>
      <c r="L100" s="39" t="s">
        <v>519</v>
      </c>
      <c r="M100" s="39" t="s">
        <v>29</v>
      </c>
      <c r="N100" s="38" t="s">
        <v>6873</v>
      </c>
      <c r="O100" s="39"/>
      <c r="P100" s="39"/>
    </row>
    <row r="101" spans="1:16" ht="13.2" customHeight="1" x14ac:dyDescent="0.25">
      <c r="A101" s="37">
        <v>99</v>
      </c>
      <c r="B101" s="38" t="s">
        <v>9884</v>
      </c>
      <c r="C101" s="38"/>
      <c r="D101" s="38" t="s">
        <v>9741</v>
      </c>
      <c r="E101" s="38" t="s">
        <v>9742</v>
      </c>
      <c r="F101" s="38" t="s">
        <v>9743</v>
      </c>
      <c r="G101" s="38" t="s">
        <v>9747</v>
      </c>
      <c r="H101" s="38" t="s">
        <v>9748</v>
      </c>
      <c r="I101" s="37" t="s">
        <v>84</v>
      </c>
      <c r="J101" s="38" t="s">
        <v>9885</v>
      </c>
      <c r="K101" s="38"/>
      <c r="L101" s="39" t="s">
        <v>519</v>
      </c>
      <c r="M101" s="39" t="s">
        <v>29</v>
      </c>
      <c r="N101" s="38" t="s">
        <v>3595</v>
      </c>
      <c r="O101" s="39"/>
      <c r="P101" s="39"/>
    </row>
    <row r="102" spans="1:16" ht="13.2" customHeight="1" x14ac:dyDescent="0.25">
      <c r="A102" s="37">
        <v>100</v>
      </c>
      <c r="B102" s="38" t="s">
        <v>9886</v>
      </c>
      <c r="C102" s="38"/>
      <c r="D102" s="38" t="s">
        <v>9747</v>
      </c>
      <c r="E102" s="38" t="s">
        <v>9748</v>
      </c>
      <c r="F102" s="38" t="s">
        <v>9749</v>
      </c>
      <c r="G102" s="38" t="s">
        <v>9753</v>
      </c>
      <c r="H102" s="38" t="s">
        <v>9754</v>
      </c>
      <c r="I102" s="37" t="s">
        <v>84</v>
      </c>
      <c r="J102" s="38" t="s">
        <v>9887</v>
      </c>
      <c r="K102" s="38"/>
      <c r="L102" s="39" t="s">
        <v>519</v>
      </c>
      <c r="M102" s="39" t="s">
        <v>29</v>
      </c>
      <c r="N102" s="38" t="s">
        <v>3603</v>
      </c>
      <c r="O102" s="39"/>
      <c r="P102" s="39"/>
    </row>
    <row r="103" spans="1:16" ht="13.2" customHeight="1" x14ac:dyDescent="0.25">
      <c r="A103" s="37">
        <v>101</v>
      </c>
      <c r="B103" s="38" t="s">
        <v>9888</v>
      </c>
      <c r="C103" s="38"/>
      <c r="D103" s="38" t="s">
        <v>9753</v>
      </c>
      <c r="E103" s="38" t="s">
        <v>9754</v>
      </c>
      <c r="F103" s="38" t="s">
        <v>9755</v>
      </c>
      <c r="G103" s="38" t="s">
        <v>9734</v>
      </c>
      <c r="H103" s="38" t="s">
        <v>9735</v>
      </c>
      <c r="I103" s="37" t="s">
        <v>84</v>
      </c>
      <c r="J103" s="38" t="s">
        <v>9889</v>
      </c>
      <c r="K103" s="38"/>
      <c r="L103" s="39" t="s">
        <v>519</v>
      </c>
      <c r="M103" s="39" t="s">
        <v>29</v>
      </c>
      <c r="N103" s="38" t="s">
        <v>9890</v>
      </c>
      <c r="O103" s="39"/>
      <c r="P103" s="39"/>
    </row>
    <row r="104" spans="1:16" ht="13.2" customHeight="1" x14ac:dyDescent="0.25">
      <c r="A104" s="37">
        <v>102</v>
      </c>
      <c r="B104" s="38" t="s">
        <v>9891</v>
      </c>
      <c r="C104" s="38"/>
      <c r="D104" s="38" t="s">
        <v>9734</v>
      </c>
      <c r="E104" s="38" t="s">
        <v>9735</v>
      </c>
      <c r="F104" s="38" t="s">
        <v>9736</v>
      </c>
      <c r="G104" s="38" t="s">
        <v>9737</v>
      </c>
      <c r="H104" s="38" t="s">
        <v>9741</v>
      </c>
      <c r="I104" s="37" t="s">
        <v>84</v>
      </c>
      <c r="J104" s="38" t="s">
        <v>9892</v>
      </c>
      <c r="K104" s="38"/>
      <c r="L104" s="39" t="s">
        <v>519</v>
      </c>
      <c r="M104" s="39" t="s">
        <v>29</v>
      </c>
      <c r="N104" s="38" t="s">
        <v>7452</v>
      </c>
      <c r="O104" s="39"/>
      <c r="P104" s="39"/>
    </row>
    <row r="105" spans="1:16" ht="13.2" customHeight="1" x14ac:dyDescent="0.25">
      <c r="A105" s="37">
        <v>103</v>
      </c>
      <c r="B105" s="38" t="s">
        <v>9893</v>
      </c>
      <c r="C105" s="38"/>
      <c r="D105" s="38" t="s">
        <v>9737</v>
      </c>
      <c r="E105" s="38" t="s">
        <v>9741</v>
      </c>
      <c r="F105" s="38" t="s">
        <v>9742</v>
      </c>
      <c r="G105" s="38" t="s">
        <v>9743</v>
      </c>
      <c r="H105" s="38" t="s">
        <v>9747</v>
      </c>
      <c r="I105" s="37" t="s">
        <v>90</v>
      </c>
      <c r="J105" s="38" t="s">
        <v>9894</v>
      </c>
      <c r="K105" s="38"/>
      <c r="L105" s="39" t="s">
        <v>9437</v>
      </c>
      <c r="M105" s="39" t="s">
        <v>29</v>
      </c>
      <c r="N105" s="38" t="s">
        <v>3650</v>
      </c>
      <c r="O105" s="39"/>
      <c r="P105" s="39"/>
    </row>
    <row r="106" spans="1:16" ht="13.2" customHeight="1" x14ac:dyDescent="0.25">
      <c r="A106" s="37">
        <v>104</v>
      </c>
      <c r="B106" s="38" t="s">
        <v>9895</v>
      </c>
      <c r="C106" s="38"/>
      <c r="D106" s="38" t="s">
        <v>9743</v>
      </c>
      <c r="E106" s="38" t="s">
        <v>9747</v>
      </c>
      <c r="F106" s="38" t="s">
        <v>9748</v>
      </c>
      <c r="G106" s="38" t="s">
        <v>9749</v>
      </c>
      <c r="H106" s="38" t="s">
        <v>9753</v>
      </c>
      <c r="I106" s="37" t="s">
        <v>84</v>
      </c>
      <c r="J106" s="38" t="s">
        <v>9896</v>
      </c>
      <c r="K106" s="38"/>
      <c r="L106" s="39" t="s">
        <v>9437</v>
      </c>
      <c r="M106" s="39" t="s">
        <v>29</v>
      </c>
      <c r="N106" s="38" t="s">
        <v>9897</v>
      </c>
      <c r="O106" s="39"/>
      <c r="P106" s="39"/>
    </row>
    <row r="107" spans="1:16" ht="13.2" customHeight="1" x14ac:dyDescent="0.25">
      <c r="A107" s="37">
        <v>105</v>
      </c>
      <c r="B107" s="38" t="s">
        <v>9898</v>
      </c>
      <c r="C107" s="38"/>
      <c r="D107" s="38" t="s">
        <v>9749</v>
      </c>
      <c r="E107" s="38" t="s">
        <v>9753</v>
      </c>
      <c r="F107" s="38" t="s">
        <v>9754</v>
      </c>
      <c r="G107" s="38" t="s">
        <v>9755</v>
      </c>
      <c r="H107" s="38" t="s">
        <v>9734</v>
      </c>
      <c r="I107" s="37" t="s">
        <v>84</v>
      </c>
      <c r="J107" s="38" t="s">
        <v>9899</v>
      </c>
      <c r="K107" s="38"/>
      <c r="L107" s="39" t="s">
        <v>9437</v>
      </c>
      <c r="M107" s="39" t="s">
        <v>29</v>
      </c>
      <c r="N107" s="38" t="s">
        <v>3689</v>
      </c>
      <c r="O107" s="39"/>
      <c r="P107" s="39"/>
    </row>
    <row r="108" spans="1:16" ht="13.2" customHeight="1" x14ac:dyDescent="0.25">
      <c r="A108" s="37">
        <v>106</v>
      </c>
      <c r="B108" s="38" t="s">
        <v>9900</v>
      </c>
      <c r="C108" s="38"/>
      <c r="D108" s="38" t="s">
        <v>9755</v>
      </c>
      <c r="E108" s="38" t="s">
        <v>9734</v>
      </c>
      <c r="F108" s="38" t="s">
        <v>9735</v>
      </c>
      <c r="G108" s="38" t="s">
        <v>9736</v>
      </c>
      <c r="H108" s="38" t="s">
        <v>9737</v>
      </c>
      <c r="I108" s="37" t="s">
        <v>84</v>
      </c>
      <c r="J108" s="38" t="s">
        <v>9901</v>
      </c>
      <c r="K108" s="38"/>
      <c r="L108" s="39" t="s">
        <v>9437</v>
      </c>
      <c r="M108" s="39" t="s">
        <v>29</v>
      </c>
      <c r="N108" s="38" t="s">
        <v>6181</v>
      </c>
      <c r="O108" s="39"/>
      <c r="P108" s="39"/>
    </row>
    <row r="109" spans="1:16" ht="13.2" customHeight="1" x14ac:dyDescent="0.25">
      <c r="A109" s="37">
        <v>107</v>
      </c>
      <c r="B109" s="38" t="s">
        <v>9902</v>
      </c>
      <c r="C109" s="38"/>
      <c r="D109" s="38" t="s">
        <v>9736</v>
      </c>
      <c r="E109" s="38" t="s">
        <v>9737</v>
      </c>
      <c r="F109" s="38" t="s">
        <v>9741</v>
      </c>
      <c r="G109" s="38" t="s">
        <v>9742</v>
      </c>
      <c r="H109" s="38" t="s">
        <v>9743</v>
      </c>
      <c r="I109" s="37" t="s">
        <v>84</v>
      </c>
      <c r="J109" s="38" t="s">
        <v>9903</v>
      </c>
      <c r="K109" s="38"/>
      <c r="L109" s="39" t="s">
        <v>9437</v>
      </c>
      <c r="M109" s="39" t="s">
        <v>29</v>
      </c>
      <c r="N109" s="38" t="s">
        <v>3699</v>
      </c>
      <c r="O109" s="39"/>
      <c r="P109" s="39"/>
    </row>
    <row r="110" spans="1:16" ht="13.2" customHeight="1" x14ac:dyDescent="0.25">
      <c r="A110" s="37">
        <v>108</v>
      </c>
      <c r="B110" s="38" t="s">
        <v>9904</v>
      </c>
      <c r="C110" s="38"/>
      <c r="D110" s="38" t="s">
        <v>9742</v>
      </c>
      <c r="E110" s="38" t="s">
        <v>9743</v>
      </c>
      <c r="F110" s="38" t="s">
        <v>9747</v>
      </c>
      <c r="G110" s="38" t="s">
        <v>9748</v>
      </c>
      <c r="H110" s="38" t="s">
        <v>9749</v>
      </c>
      <c r="I110" s="37" t="s">
        <v>84</v>
      </c>
      <c r="J110" s="38" t="s">
        <v>9905</v>
      </c>
      <c r="K110" s="38"/>
      <c r="L110" s="39" t="s">
        <v>519</v>
      </c>
      <c r="M110" s="39" t="s">
        <v>29</v>
      </c>
      <c r="N110" s="38" t="s">
        <v>5035</v>
      </c>
      <c r="O110" s="39"/>
      <c r="P110" s="39"/>
    </row>
    <row r="111" spans="1:16" ht="13.2" customHeight="1" x14ac:dyDescent="0.25">
      <c r="A111" s="37">
        <v>109</v>
      </c>
      <c r="B111" s="38" t="s">
        <v>9906</v>
      </c>
      <c r="C111" s="38"/>
      <c r="D111" s="38" t="s">
        <v>9748</v>
      </c>
      <c r="E111" s="38" t="s">
        <v>9749</v>
      </c>
      <c r="F111" s="38" t="s">
        <v>9753</v>
      </c>
      <c r="G111" s="38" t="s">
        <v>9754</v>
      </c>
      <c r="H111" s="38" t="s">
        <v>9755</v>
      </c>
      <c r="I111" s="37" t="s">
        <v>84</v>
      </c>
      <c r="J111" s="38" t="s">
        <v>9907</v>
      </c>
      <c r="K111" s="38"/>
      <c r="L111" s="39" t="s">
        <v>2106</v>
      </c>
      <c r="M111" s="39" t="s">
        <v>29</v>
      </c>
      <c r="N111" s="38" t="s">
        <v>9143</v>
      </c>
      <c r="O111" s="39"/>
      <c r="P111" s="39"/>
    </row>
    <row r="112" spans="1:16" ht="13.2" customHeight="1" x14ac:dyDescent="0.25">
      <c r="A112" s="37">
        <v>110</v>
      </c>
      <c r="B112" s="38" t="s">
        <v>9908</v>
      </c>
      <c r="C112" s="38"/>
      <c r="D112" s="38" t="s">
        <v>9909</v>
      </c>
      <c r="E112" s="38" t="s">
        <v>9910</v>
      </c>
      <c r="F112" s="38" t="s">
        <v>9911</v>
      </c>
      <c r="G112" s="38" t="s">
        <v>9912</v>
      </c>
      <c r="H112" s="38" t="s">
        <v>9913</v>
      </c>
      <c r="I112" s="37" t="s">
        <v>84</v>
      </c>
      <c r="J112" s="38" t="s">
        <v>9914</v>
      </c>
      <c r="K112" s="38"/>
      <c r="L112" s="39" t="s">
        <v>519</v>
      </c>
      <c r="M112" s="39" t="s">
        <v>29</v>
      </c>
      <c r="N112" s="38" t="s">
        <v>2537</v>
      </c>
      <c r="O112" s="39"/>
      <c r="P112" s="39"/>
    </row>
    <row r="113" spans="1:16" ht="13.2" customHeight="1" x14ac:dyDescent="0.25">
      <c r="A113" s="37">
        <v>111</v>
      </c>
      <c r="B113" s="38" t="s">
        <v>9915</v>
      </c>
      <c r="C113" s="38"/>
      <c r="D113" s="38" t="s">
        <v>9909</v>
      </c>
      <c r="E113" s="38" t="s">
        <v>9916</v>
      </c>
      <c r="F113" s="38" t="s">
        <v>9917</v>
      </c>
      <c r="G113" s="38" t="s">
        <v>9918</v>
      </c>
      <c r="H113" s="38" t="s">
        <v>9913</v>
      </c>
      <c r="I113" s="37" t="s">
        <v>84</v>
      </c>
      <c r="J113" s="38" t="s">
        <v>9919</v>
      </c>
      <c r="K113" s="38"/>
      <c r="L113" s="39" t="s">
        <v>519</v>
      </c>
      <c r="M113" s="39" t="s">
        <v>29</v>
      </c>
      <c r="N113" s="38" t="s">
        <v>2537</v>
      </c>
      <c r="O113" s="39"/>
      <c r="P113" s="39"/>
    </row>
    <row r="114" spans="1:16" ht="13.2" customHeight="1" x14ac:dyDescent="0.25">
      <c r="A114" s="37">
        <v>112</v>
      </c>
      <c r="B114" s="38" t="s">
        <v>9920</v>
      </c>
      <c r="C114" s="38"/>
      <c r="D114" s="38" t="s">
        <v>9741</v>
      </c>
      <c r="E114" s="38" t="s">
        <v>9742</v>
      </c>
      <c r="F114" s="38" t="s">
        <v>9743</v>
      </c>
      <c r="G114" s="38" t="s">
        <v>9747</v>
      </c>
      <c r="H114" s="38" t="s">
        <v>9748</v>
      </c>
      <c r="I114" s="37" t="s">
        <v>84</v>
      </c>
      <c r="J114" s="38" t="s">
        <v>9921</v>
      </c>
      <c r="K114" s="38"/>
      <c r="L114" s="39" t="s">
        <v>2106</v>
      </c>
      <c r="M114" s="39" t="s">
        <v>29</v>
      </c>
      <c r="N114" s="38" t="s">
        <v>2537</v>
      </c>
      <c r="O114" s="39"/>
      <c r="P114" s="39"/>
    </row>
    <row r="115" spans="1:16" ht="13.2" customHeight="1" x14ac:dyDescent="0.25">
      <c r="A115" s="37">
        <v>113</v>
      </c>
      <c r="B115" s="38" t="s">
        <v>9922</v>
      </c>
      <c r="C115" s="38"/>
      <c r="D115" s="38" t="s">
        <v>9747</v>
      </c>
      <c r="E115" s="38" t="s">
        <v>9748</v>
      </c>
      <c r="F115" s="38" t="s">
        <v>9749</v>
      </c>
      <c r="G115" s="38" t="s">
        <v>9753</v>
      </c>
      <c r="H115" s="38" t="s">
        <v>9754</v>
      </c>
      <c r="I115" s="37" t="s">
        <v>84</v>
      </c>
      <c r="J115" s="38" t="s">
        <v>9923</v>
      </c>
      <c r="K115" s="38"/>
      <c r="L115" s="39" t="s">
        <v>2106</v>
      </c>
      <c r="M115" s="39" t="s">
        <v>29</v>
      </c>
      <c r="N115" s="38" t="s">
        <v>3754</v>
      </c>
      <c r="O115" s="39"/>
      <c r="P115" s="39"/>
    </row>
    <row r="116" spans="1:16" ht="13.2" customHeight="1" x14ac:dyDescent="0.25">
      <c r="A116" s="37">
        <v>114</v>
      </c>
      <c r="B116" s="38" t="s">
        <v>9728</v>
      </c>
      <c r="C116" s="38"/>
      <c r="D116" s="38" t="s">
        <v>9753</v>
      </c>
      <c r="E116" s="38" t="s">
        <v>9754</v>
      </c>
      <c r="F116" s="38" t="s">
        <v>9755</v>
      </c>
      <c r="G116" s="38" t="s">
        <v>9734</v>
      </c>
      <c r="H116" s="38" t="s">
        <v>9735</v>
      </c>
      <c r="I116" s="37" t="s">
        <v>84</v>
      </c>
      <c r="J116" s="38" t="s">
        <v>9924</v>
      </c>
      <c r="K116" s="38"/>
      <c r="L116" s="39" t="s">
        <v>2106</v>
      </c>
      <c r="M116" s="39" t="s">
        <v>29</v>
      </c>
      <c r="N116" s="38" t="s">
        <v>3733</v>
      </c>
      <c r="O116" s="39"/>
      <c r="P116" s="39"/>
    </row>
    <row r="117" spans="1:16" ht="13.2" customHeight="1" x14ac:dyDescent="0.25">
      <c r="A117" s="37">
        <v>115</v>
      </c>
      <c r="B117" s="38" t="s">
        <v>9925</v>
      </c>
      <c r="C117" s="38"/>
      <c r="D117" s="38" t="s">
        <v>9734</v>
      </c>
      <c r="E117" s="38" t="s">
        <v>9735</v>
      </c>
      <c r="F117" s="38" t="s">
        <v>9736</v>
      </c>
      <c r="G117" s="38" t="s">
        <v>9737</v>
      </c>
      <c r="H117" s="38" t="s">
        <v>9741</v>
      </c>
      <c r="I117" s="37" t="s">
        <v>84</v>
      </c>
      <c r="J117" s="38" t="s">
        <v>9926</v>
      </c>
      <c r="K117" s="38"/>
      <c r="L117" s="39" t="s">
        <v>519</v>
      </c>
      <c r="M117" s="39" t="s">
        <v>29</v>
      </c>
      <c r="N117" s="38" t="s">
        <v>3887</v>
      </c>
      <c r="O117" s="39"/>
      <c r="P117" s="39"/>
    </row>
    <row r="118" spans="1:16" ht="13.2" customHeight="1" x14ac:dyDescent="0.25">
      <c r="A118" s="37">
        <v>116</v>
      </c>
      <c r="B118" s="38" t="s">
        <v>9882</v>
      </c>
      <c r="C118" s="38"/>
      <c r="D118" s="38" t="s">
        <v>9927</v>
      </c>
      <c r="E118" s="38" t="s">
        <v>9928</v>
      </c>
      <c r="F118" s="38" t="s">
        <v>9929</v>
      </c>
      <c r="G118" s="38" t="s">
        <v>9930</v>
      </c>
      <c r="H118" s="38" t="s">
        <v>9931</v>
      </c>
      <c r="I118" s="37" t="s">
        <v>84</v>
      </c>
      <c r="J118" s="38" t="s">
        <v>9932</v>
      </c>
      <c r="K118" s="38"/>
      <c r="L118" s="39" t="s">
        <v>519</v>
      </c>
      <c r="M118" s="39" t="s">
        <v>29</v>
      </c>
      <c r="N118" s="38" t="s">
        <v>2655</v>
      </c>
      <c r="O118" s="39"/>
      <c r="P118" s="39"/>
    </row>
    <row r="119" spans="1:16" ht="13.2" customHeight="1" x14ac:dyDescent="0.25">
      <c r="A119" s="37">
        <v>117</v>
      </c>
      <c r="B119" s="38" t="s">
        <v>9884</v>
      </c>
      <c r="C119" s="38"/>
      <c r="D119" s="38" t="s">
        <v>9933</v>
      </c>
      <c r="E119" s="38" t="s">
        <v>9934</v>
      </c>
      <c r="F119" s="38" t="s">
        <v>9517</v>
      </c>
      <c r="G119" s="38" t="s">
        <v>9935</v>
      </c>
      <c r="H119" s="38" t="s">
        <v>9936</v>
      </c>
      <c r="I119" s="37" t="s">
        <v>90</v>
      </c>
      <c r="J119" s="38" t="s">
        <v>9937</v>
      </c>
      <c r="K119" s="38"/>
      <c r="L119" s="39" t="s">
        <v>519</v>
      </c>
      <c r="M119" s="39" t="s">
        <v>29</v>
      </c>
      <c r="N119" s="38" t="s">
        <v>3887</v>
      </c>
      <c r="O119" s="39"/>
      <c r="P119" s="39"/>
    </row>
    <row r="120" spans="1:16" ht="13.2" customHeight="1" x14ac:dyDescent="0.25">
      <c r="A120" s="37">
        <v>118</v>
      </c>
      <c r="B120" s="38" t="s">
        <v>9886</v>
      </c>
      <c r="C120" s="38"/>
      <c r="D120" s="38" t="s">
        <v>1133</v>
      </c>
      <c r="E120" s="38" t="s">
        <v>5033</v>
      </c>
      <c r="F120" s="38" t="s">
        <v>8137</v>
      </c>
      <c r="G120" s="38" t="s">
        <v>9133</v>
      </c>
      <c r="H120" s="38" t="s">
        <v>5518</v>
      </c>
      <c r="I120" s="37" t="s">
        <v>113</v>
      </c>
      <c r="J120" s="38" t="s">
        <v>9938</v>
      </c>
      <c r="K120" s="38"/>
      <c r="L120" s="39" t="s">
        <v>519</v>
      </c>
      <c r="M120" s="39" t="s">
        <v>29</v>
      </c>
      <c r="N120" s="38" t="s">
        <v>1669</v>
      </c>
      <c r="O120" s="39"/>
      <c r="P120" s="39"/>
    </row>
    <row r="121" spans="1:16" ht="13.2" customHeight="1" x14ac:dyDescent="0.25">
      <c r="A121" s="37">
        <v>119</v>
      </c>
      <c r="B121" s="38" t="s">
        <v>9310</v>
      </c>
      <c r="C121" s="38"/>
      <c r="D121" s="38" t="s">
        <v>9755</v>
      </c>
      <c r="E121" s="38" t="s">
        <v>9734</v>
      </c>
      <c r="F121" s="38" t="s">
        <v>9735</v>
      </c>
      <c r="G121" s="38" t="s">
        <v>9736</v>
      </c>
      <c r="H121" s="38" t="s">
        <v>9737</v>
      </c>
      <c r="I121" s="37" t="s">
        <v>84</v>
      </c>
      <c r="J121" s="38" t="s">
        <v>9939</v>
      </c>
      <c r="K121" s="38"/>
      <c r="L121" s="39" t="s">
        <v>519</v>
      </c>
      <c r="M121" s="39" t="s">
        <v>29</v>
      </c>
      <c r="N121" s="38" t="s">
        <v>1669</v>
      </c>
      <c r="O121" s="39"/>
      <c r="P121" s="39"/>
    </row>
    <row r="122" spans="1:16" ht="13.2" customHeight="1" x14ac:dyDescent="0.25">
      <c r="A122" s="37">
        <v>120</v>
      </c>
      <c r="B122" s="38" t="s">
        <v>9940</v>
      </c>
      <c r="C122" s="38"/>
      <c r="D122" s="38" t="s">
        <v>9736</v>
      </c>
      <c r="E122" s="38" t="s">
        <v>9737</v>
      </c>
      <c r="F122" s="38" t="s">
        <v>9741</v>
      </c>
      <c r="G122" s="38" t="s">
        <v>9742</v>
      </c>
      <c r="H122" s="38" t="s">
        <v>9743</v>
      </c>
      <c r="I122" s="37" t="s">
        <v>84</v>
      </c>
      <c r="J122" s="38" t="s">
        <v>9941</v>
      </c>
      <c r="K122" s="38"/>
      <c r="L122" s="39" t="s">
        <v>2106</v>
      </c>
      <c r="M122" s="39" t="s">
        <v>29</v>
      </c>
      <c r="N122" s="38" t="s">
        <v>9942</v>
      </c>
      <c r="O122" s="39"/>
      <c r="P122" s="39"/>
    </row>
    <row r="123" spans="1:16" ht="13.2" customHeight="1" x14ac:dyDescent="0.25">
      <c r="A123" s="37">
        <v>121</v>
      </c>
      <c r="B123" s="38" t="s">
        <v>9943</v>
      </c>
      <c r="C123" s="38"/>
      <c r="D123" s="38" t="s">
        <v>9742</v>
      </c>
      <c r="E123" s="38" t="s">
        <v>9743</v>
      </c>
      <c r="F123" s="38" t="s">
        <v>9747</v>
      </c>
      <c r="G123" s="38" t="s">
        <v>9748</v>
      </c>
      <c r="H123" s="38" t="s">
        <v>9749</v>
      </c>
      <c r="I123" s="37" t="s">
        <v>84</v>
      </c>
      <c r="J123" s="38" t="s">
        <v>9905</v>
      </c>
      <c r="K123" s="38"/>
      <c r="L123" s="39" t="s">
        <v>519</v>
      </c>
      <c r="M123" s="39" t="s">
        <v>29</v>
      </c>
      <c r="N123" s="38" t="s">
        <v>3936</v>
      </c>
      <c r="O123" s="39"/>
      <c r="P123" s="39"/>
    </row>
    <row r="124" spans="1:16" ht="13.2" customHeight="1" x14ac:dyDescent="0.25">
      <c r="A124" s="37">
        <v>122</v>
      </c>
      <c r="B124" s="38" t="s">
        <v>9944</v>
      </c>
      <c r="C124" s="38"/>
      <c r="D124" s="38" t="s">
        <v>9748</v>
      </c>
      <c r="E124" s="38" t="s">
        <v>9749</v>
      </c>
      <c r="F124" s="38" t="s">
        <v>9753</v>
      </c>
      <c r="G124" s="38" t="s">
        <v>9754</v>
      </c>
      <c r="H124" s="38" t="s">
        <v>9755</v>
      </c>
      <c r="I124" s="37" t="s">
        <v>123</v>
      </c>
      <c r="J124" s="38" t="s">
        <v>9945</v>
      </c>
      <c r="K124" s="38"/>
      <c r="L124" s="39" t="s">
        <v>9437</v>
      </c>
      <c r="M124" s="39" t="s">
        <v>29</v>
      </c>
      <c r="N124" s="38" t="s">
        <v>9946</v>
      </c>
      <c r="O124" s="39"/>
      <c r="P124" s="39"/>
    </row>
    <row r="125" spans="1:16" ht="13.2" customHeight="1" x14ac:dyDescent="0.25">
      <c r="A125" s="37">
        <v>123</v>
      </c>
      <c r="B125" s="38" t="s">
        <v>9947</v>
      </c>
      <c r="C125" s="38"/>
      <c r="D125" s="38" t="s">
        <v>9754</v>
      </c>
      <c r="E125" s="38" t="s">
        <v>9755</v>
      </c>
      <c r="F125" s="38" t="s">
        <v>9734</v>
      </c>
      <c r="G125" s="38" t="s">
        <v>9735</v>
      </c>
      <c r="H125" s="38" t="s">
        <v>9736</v>
      </c>
      <c r="I125" s="37" t="s">
        <v>84</v>
      </c>
      <c r="J125" s="38" t="s">
        <v>9948</v>
      </c>
      <c r="K125" s="38"/>
      <c r="L125" s="39" t="s">
        <v>519</v>
      </c>
      <c r="M125" s="39" t="s">
        <v>29</v>
      </c>
      <c r="N125" s="38" t="s">
        <v>3900</v>
      </c>
      <c r="O125" s="39"/>
      <c r="P125" s="39"/>
    </row>
    <row r="126" spans="1:16" ht="13.2" customHeight="1" x14ac:dyDescent="0.25">
      <c r="A126" s="37">
        <v>124</v>
      </c>
      <c r="B126" s="38" t="s">
        <v>9949</v>
      </c>
      <c r="C126" s="38"/>
      <c r="D126" s="38" t="s">
        <v>9735</v>
      </c>
      <c r="E126" s="38" t="s">
        <v>9736</v>
      </c>
      <c r="F126" s="38" t="s">
        <v>9737</v>
      </c>
      <c r="G126" s="38" t="s">
        <v>9741</v>
      </c>
      <c r="H126" s="38" t="s">
        <v>9742</v>
      </c>
      <c r="I126" s="37" t="s">
        <v>84</v>
      </c>
      <c r="J126" s="38" t="s">
        <v>9950</v>
      </c>
      <c r="K126" s="38"/>
      <c r="L126" s="39" t="s">
        <v>9437</v>
      </c>
      <c r="M126" s="39" t="s">
        <v>29</v>
      </c>
      <c r="N126" s="38" t="s">
        <v>3936</v>
      </c>
      <c r="O126" s="39"/>
      <c r="P126" s="39"/>
    </row>
    <row r="127" spans="1:16" ht="13.2" customHeight="1" x14ac:dyDescent="0.25">
      <c r="A127" s="37">
        <v>125</v>
      </c>
      <c r="B127" s="38" t="s">
        <v>9951</v>
      </c>
      <c r="C127" s="38"/>
      <c r="D127" s="38" t="s">
        <v>9741</v>
      </c>
      <c r="E127" s="38" t="s">
        <v>9742</v>
      </c>
      <c r="F127" s="38" t="s">
        <v>9743</v>
      </c>
      <c r="G127" s="38" t="s">
        <v>9747</v>
      </c>
      <c r="H127" s="38" t="s">
        <v>9748</v>
      </c>
      <c r="I127" s="37" t="s">
        <v>84</v>
      </c>
      <c r="J127" s="38" t="s">
        <v>9952</v>
      </c>
      <c r="K127" s="38"/>
      <c r="L127" s="39" t="s">
        <v>9437</v>
      </c>
      <c r="M127" s="39" t="s">
        <v>29</v>
      </c>
      <c r="N127" s="38" t="s">
        <v>3887</v>
      </c>
      <c r="O127" s="39"/>
      <c r="P127" s="39"/>
    </row>
    <row r="128" spans="1:16" ht="13.2" customHeight="1" x14ac:dyDescent="0.25">
      <c r="A128" s="37">
        <v>126</v>
      </c>
      <c r="B128" s="38" t="s">
        <v>9953</v>
      </c>
      <c r="C128" s="38"/>
      <c r="D128" s="38" t="s">
        <v>9747</v>
      </c>
      <c r="E128" s="38" t="s">
        <v>9748</v>
      </c>
      <c r="F128" s="38" t="s">
        <v>9749</v>
      </c>
      <c r="G128" s="38" t="s">
        <v>9753</v>
      </c>
      <c r="H128" s="38" t="s">
        <v>9754</v>
      </c>
      <c r="I128" s="37" t="s">
        <v>84</v>
      </c>
      <c r="J128" s="38" t="s">
        <v>9954</v>
      </c>
      <c r="K128" s="38"/>
      <c r="L128" s="39" t="s">
        <v>9437</v>
      </c>
      <c r="M128" s="39" t="s">
        <v>29</v>
      </c>
      <c r="N128" s="38" t="s">
        <v>3900</v>
      </c>
      <c r="O128" s="39"/>
      <c r="P128" s="39"/>
    </row>
    <row r="129" spans="1:16" ht="13.2" customHeight="1" x14ac:dyDescent="0.25">
      <c r="A129" s="37">
        <v>127</v>
      </c>
      <c r="B129" s="38" t="s">
        <v>9955</v>
      </c>
      <c r="C129" s="38"/>
      <c r="D129" s="38" t="s">
        <v>9753</v>
      </c>
      <c r="E129" s="38" t="s">
        <v>9754</v>
      </c>
      <c r="F129" s="38" t="s">
        <v>9755</v>
      </c>
      <c r="G129" s="38" t="s">
        <v>9734</v>
      </c>
      <c r="H129" s="38" t="s">
        <v>9735</v>
      </c>
      <c r="I129" s="37" t="s">
        <v>84</v>
      </c>
      <c r="J129" s="38" t="s">
        <v>9956</v>
      </c>
      <c r="K129" s="38"/>
      <c r="L129" s="39" t="s">
        <v>9437</v>
      </c>
      <c r="M129" s="39" t="s">
        <v>29</v>
      </c>
      <c r="N129" s="38" t="s">
        <v>3936</v>
      </c>
      <c r="O129" s="39"/>
      <c r="P129" s="39"/>
    </row>
    <row r="130" spans="1:16" ht="13.2" customHeight="1" x14ac:dyDescent="0.25">
      <c r="A130" s="37">
        <v>128</v>
      </c>
      <c r="B130" s="38" t="s">
        <v>9957</v>
      </c>
      <c r="C130" s="38"/>
      <c r="D130" s="38" t="s">
        <v>9734</v>
      </c>
      <c r="E130" s="38" t="s">
        <v>9735</v>
      </c>
      <c r="F130" s="38" t="s">
        <v>9736</v>
      </c>
      <c r="G130" s="38" t="s">
        <v>9737</v>
      </c>
      <c r="H130" s="38" t="s">
        <v>9741</v>
      </c>
      <c r="I130" s="37" t="s">
        <v>84</v>
      </c>
      <c r="J130" s="38" t="s">
        <v>9958</v>
      </c>
      <c r="K130" s="38"/>
      <c r="L130" s="39" t="s">
        <v>9437</v>
      </c>
      <c r="M130" s="39" t="s">
        <v>29</v>
      </c>
      <c r="N130" s="38" t="s">
        <v>3900</v>
      </c>
      <c r="O130" s="39"/>
      <c r="P130" s="39"/>
    </row>
    <row r="131" spans="1:16" ht="13.2" customHeight="1" x14ac:dyDescent="0.25">
      <c r="A131" s="37">
        <v>129</v>
      </c>
      <c r="B131" s="38" t="s">
        <v>9959</v>
      </c>
      <c r="C131" s="38"/>
      <c r="D131" s="38" t="s">
        <v>9737</v>
      </c>
      <c r="E131" s="38" t="s">
        <v>9741</v>
      </c>
      <c r="F131" s="38" t="s">
        <v>9742</v>
      </c>
      <c r="G131" s="38" t="s">
        <v>9743</v>
      </c>
      <c r="H131" s="38" t="s">
        <v>9747</v>
      </c>
      <c r="I131" s="37" t="s">
        <v>84</v>
      </c>
      <c r="J131" s="38" t="s">
        <v>9960</v>
      </c>
      <c r="K131" s="38"/>
      <c r="L131" s="39" t="s">
        <v>9437</v>
      </c>
      <c r="M131" s="39" t="s">
        <v>29</v>
      </c>
      <c r="N131" s="38" t="s">
        <v>3936</v>
      </c>
      <c r="O131" s="39"/>
      <c r="P131" s="39"/>
    </row>
    <row r="132" spans="1:16" ht="13.2" customHeight="1" x14ac:dyDescent="0.25">
      <c r="A132" s="37">
        <v>130</v>
      </c>
      <c r="B132" s="38" t="s">
        <v>9961</v>
      </c>
      <c r="C132" s="38"/>
      <c r="D132" s="38" t="s">
        <v>9743</v>
      </c>
      <c r="E132" s="38" t="s">
        <v>9747</v>
      </c>
      <c r="F132" s="38" t="s">
        <v>9748</v>
      </c>
      <c r="G132" s="38" t="s">
        <v>9749</v>
      </c>
      <c r="H132" s="38" t="s">
        <v>9753</v>
      </c>
      <c r="I132" s="37" t="s">
        <v>84</v>
      </c>
      <c r="J132" s="38" t="s">
        <v>9962</v>
      </c>
      <c r="K132" s="38"/>
      <c r="L132" s="39" t="s">
        <v>519</v>
      </c>
      <c r="M132" s="39" t="s">
        <v>29</v>
      </c>
      <c r="N132" s="38" t="s">
        <v>2655</v>
      </c>
      <c r="O132" s="39"/>
      <c r="P132" s="39"/>
    </row>
    <row r="133" spans="1:16" ht="13.2" customHeight="1" x14ac:dyDescent="0.25">
      <c r="A133" s="37">
        <v>131</v>
      </c>
      <c r="B133" s="38" t="s">
        <v>9963</v>
      </c>
      <c r="C133" s="38"/>
      <c r="D133" s="38" t="s">
        <v>9749</v>
      </c>
      <c r="E133" s="38" t="s">
        <v>9753</v>
      </c>
      <c r="F133" s="38" t="s">
        <v>9754</v>
      </c>
      <c r="G133" s="38" t="s">
        <v>9755</v>
      </c>
      <c r="H133" s="38" t="s">
        <v>9734</v>
      </c>
      <c r="I133" s="37" t="s">
        <v>84</v>
      </c>
      <c r="J133" s="38" t="s">
        <v>9964</v>
      </c>
      <c r="K133" s="38"/>
      <c r="L133" s="39" t="s">
        <v>2106</v>
      </c>
      <c r="M133" s="39" t="s">
        <v>29</v>
      </c>
      <c r="N133" s="38" t="s">
        <v>3936</v>
      </c>
      <c r="O133" s="39"/>
      <c r="P133" s="39"/>
    </row>
    <row r="134" spans="1:16" ht="13.2" customHeight="1" x14ac:dyDescent="0.25">
      <c r="A134" s="37">
        <v>132</v>
      </c>
      <c r="B134" s="38" t="s">
        <v>9965</v>
      </c>
      <c r="C134" s="38"/>
      <c r="D134" s="38" t="s">
        <v>9755</v>
      </c>
      <c r="E134" s="38" t="s">
        <v>9734</v>
      </c>
      <c r="F134" s="38" t="s">
        <v>9735</v>
      </c>
      <c r="G134" s="38" t="s">
        <v>9736</v>
      </c>
      <c r="H134" s="38" t="s">
        <v>9737</v>
      </c>
      <c r="I134" s="37" t="s">
        <v>84</v>
      </c>
      <c r="J134" s="38" t="s">
        <v>9966</v>
      </c>
      <c r="K134" s="38"/>
      <c r="L134" s="39" t="s">
        <v>2106</v>
      </c>
      <c r="M134" s="39" t="s">
        <v>29</v>
      </c>
      <c r="N134" s="38" t="s">
        <v>2655</v>
      </c>
      <c r="O134" s="39"/>
      <c r="P134" s="39"/>
    </row>
    <row r="135" spans="1:16" ht="13.2" x14ac:dyDescent="0.25">
      <c r="A135">
        <v>133</v>
      </c>
      <c r="B135" t="s">
        <v>9967</v>
      </c>
      <c r="D135" t="s">
        <v>2261</v>
      </c>
      <c r="E135" t="s">
        <v>2480</v>
      </c>
      <c r="F135" t="s">
        <v>2097</v>
      </c>
      <c r="G135" t="s">
        <v>2481</v>
      </c>
      <c r="I135" t="s">
        <v>96</v>
      </c>
      <c r="J135" t="s">
        <v>9968</v>
      </c>
      <c r="L135" t="s">
        <v>1804</v>
      </c>
      <c r="M135" t="s">
        <v>29</v>
      </c>
      <c r="N135" t="s">
        <v>9969</v>
      </c>
    </row>
    <row r="136" spans="1:16" ht="13.2" x14ac:dyDescent="0.25">
      <c r="A136">
        <v>134</v>
      </c>
      <c r="B136" t="s">
        <v>9970</v>
      </c>
      <c r="D136" t="s">
        <v>9971</v>
      </c>
      <c r="E136" t="s">
        <v>9972</v>
      </c>
      <c r="F136" t="s">
        <v>9973</v>
      </c>
      <c r="G136" t="s">
        <v>9974</v>
      </c>
      <c r="H136" t="s">
        <v>9975</v>
      </c>
      <c r="I136" t="s">
        <v>84</v>
      </c>
      <c r="J136" t="s">
        <v>9976</v>
      </c>
      <c r="L136" t="s">
        <v>1645</v>
      </c>
      <c r="M136" t="s">
        <v>29</v>
      </c>
      <c r="N136" t="s">
        <v>2241</v>
      </c>
    </row>
    <row r="137" spans="1:16" ht="13.2" x14ac:dyDescent="0.25">
      <c r="A137">
        <v>135</v>
      </c>
      <c r="B137" t="s">
        <v>9977</v>
      </c>
      <c r="D137" t="s">
        <v>9978</v>
      </c>
      <c r="E137" t="s">
        <v>9979</v>
      </c>
      <c r="F137" t="s">
        <v>9980</v>
      </c>
      <c r="G137" t="s">
        <v>9981</v>
      </c>
      <c r="H137" t="s">
        <v>9982</v>
      </c>
      <c r="I137" t="s">
        <v>84</v>
      </c>
      <c r="J137" t="s">
        <v>9983</v>
      </c>
      <c r="L137" t="s">
        <v>1645</v>
      </c>
      <c r="M137" t="s">
        <v>29</v>
      </c>
      <c r="N137" t="s">
        <v>2263</v>
      </c>
    </row>
    <row r="138" spans="1:16" ht="13.2" x14ac:dyDescent="0.25">
      <c r="A138">
        <v>136</v>
      </c>
      <c r="B138" t="s">
        <v>9984</v>
      </c>
      <c r="D138" t="s">
        <v>9985</v>
      </c>
      <c r="E138" t="s">
        <v>9986</v>
      </c>
      <c r="F138" t="s">
        <v>9987</v>
      </c>
      <c r="G138" t="s">
        <v>9988</v>
      </c>
      <c r="H138" t="s">
        <v>9989</v>
      </c>
      <c r="I138" t="s">
        <v>84</v>
      </c>
      <c r="J138" t="s">
        <v>9990</v>
      </c>
      <c r="L138" t="s">
        <v>1645</v>
      </c>
      <c r="M138" t="s">
        <v>29</v>
      </c>
      <c r="N138" t="s">
        <v>2222</v>
      </c>
    </row>
    <row r="139" spans="1:16" ht="13.2" x14ac:dyDescent="0.25">
      <c r="A139">
        <v>137</v>
      </c>
      <c r="B139" t="s">
        <v>9991</v>
      </c>
      <c r="D139" t="s">
        <v>9992</v>
      </c>
      <c r="E139" t="s">
        <v>9993</v>
      </c>
      <c r="F139" t="s">
        <v>9994</v>
      </c>
      <c r="G139" t="s">
        <v>9995</v>
      </c>
      <c r="H139" t="s">
        <v>9996</v>
      </c>
      <c r="I139" t="s">
        <v>84</v>
      </c>
      <c r="J139" t="s">
        <v>9997</v>
      </c>
      <c r="L139" t="s">
        <v>1645</v>
      </c>
      <c r="M139" t="s">
        <v>29</v>
      </c>
      <c r="N139" t="s">
        <v>4895</v>
      </c>
    </row>
    <row r="140" spans="1:16" ht="13.2" x14ac:dyDescent="0.25">
      <c r="A140">
        <v>138</v>
      </c>
      <c r="B140" t="s">
        <v>9998</v>
      </c>
      <c r="D140" t="s">
        <v>9999</v>
      </c>
      <c r="E140" t="s">
        <v>8308</v>
      </c>
      <c r="F140" t="s">
        <v>10000</v>
      </c>
      <c r="G140" t="s">
        <v>4207</v>
      </c>
      <c r="H140" t="s">
        <v>2106</v>
      </c>
      <c r="I140" t="s">
        <v>84</v>
      </c>
      <c r="J140" t="s">
        <v>10001</v>
      </c>
      <c r="L140" t="s">
        <v>1645</v>
      </c>
      <c r="M140" t="s">
        <v>29</v>
      </c>
      <c r="N140" t="s">
        <v>10002</v>
      </c>
    </row>
    <row r="141" spans="1:16" ht="13.2" x14ac:dyDescent="0.25">
      <c r="A141">
        <v>139</v>
      </c>
      <c r="B141" t="s">
        <v>10003</v>
      </c>
      <c r="D141" t="s">
        <v>10004</v>
      </c>
      <c r="E141" t="s">
        <v>10005</v>
      </c>
      <c r="F141" t="s">
        <v>10006</v>
      </c>
      <c r="G141" t="s">
        <v>10007</v>
      </c>
      <c r="H141" t="s">
        <v>10008</v>
      </c>
      <c r="I141" t="s">
        <v>84</v>
      </c>
      <c r="J141" t="s">
        <v>10009</v>
      </c>
      <c r="L141" t="s">
        <v>1645</v>
      </c>
      <c r="M141" t="s">
        <v>29</v>
      </c>
      <c r="N141" t="s">
        <v>10010</v>
      </c>
    </row>
    <row r="142" spans="1:16" ht="13.2" x14ac:dyDescent="0.25">
      <c r="A142">
        <v>140</v>
      </c>
      <c r="B142" t="s">
        <v>10011</v>
      </c>
      <c r="D142" t="s">
        <v>10012</v>
      </c>
      <c r="E142" t="s">
        <v>10013</v>
      </c>
      <c r="F142" t="s">
        <v>2266</v>
      </c>
      <c r="G142" t="s">
        <v>10014</v>
      </c>
      <c r="H142" t="s">
        <v>10015</v>
      </c>
      <c r="I142" t="s">
        <v>84</v>
      </c>
      <c r="J142" t="s">
        <v>10016</v>
      </c>
      <c r="L142" t="s">
        <v>1645</v>
      </c>
      <c r="M142" t="s">
        <v>29</v>
      </c>
      <c r="N142" t="s">
        <v>10017</v>
      </c>
    </row>
    <row r="143" spans="1:16" ht="13.2" x14ac:dyDescent="0.25">
      <c r="A143">
        <v>141</v>
      </c>
      <c r="B143" t="s">
        <v>10018</v>
      </c>
      <c r="D143" t="s">
        <v>10019</v>
      </c>
      <c r="E143" t="s">
        <v>10020</v>
      </c>
      <c r="F143" t="s">
        <v>10021</v>
      </c>
      <c r="G143" t="s">
        <v>10022</v>
      </c>
      <c r="H143" t="s">
        <v>10023</v>
      </c>
      <c r="I143" t="s">
        <v>84</v>
      </c>
      <c r="J143" t="s">
        <v>10024</v>
      </c>
      <c r="L143" t="s">
        <v>1645</v>
      </c>
      <c r="M143" t="s">
        <v>29</v>
      </c>
      <c r="N143" t="s">
        <v>10025</v>
      </c>
    </row>
    <row r="144" spans="1:16" ht="13.2" x14ac:dyDescent="0.25">
      <c r="A144">
        <v>142</v>
      </c>
      <c r="B144" t="s">
        <v>10026</v>
      </c>
      <c r="D144" t="s">
        <v>10027</v>
      </c>
      <c r="E144" t="s">
        <v>9585</v>
      </c>
      <c r="F144" t="s">
        <v>10028</v>
      </c>
      <c r="G144" t="s">
        <v>10029</v>
      </c>
      <c r="H144" t="s">
        <v>10030</v>
      </c>
      <c r="I144" t="s">
        <v>84</v>
      </c>
      <c r="J144" t="s">
        <v>10031</v>
      </c>
      <c r="L144" t="s">
        <v>1645</v>
      </c>
      <c r="M144" t="s">
        <v>29</v>
      </c>
      <c r="N144" t="s">
        <v>10032</v>
      </c>
    </row>
    <row r="145" spans="1:14" ht="13.2" x14ac:dyDescent="0.25">
      <c r="A145">
        <v>143</v>
      </c>
      <c r="B145" t="s">
        <v>10033</v>
      </c>
      <c r="D145" t="s">
        <v>10034</v>
      </c>
      <c r="E145" t="s">
        <v>10035</v>
      </c>
      <c r="F145" t="s">
        <v>10036</v>
      </c>
      <c r="G145" t="s">
        <v>10037</v>
      </c>
      <c r="H145" t="s">
        <v>10038</v>
      </c>
      <c r="I145" t="s">
        <v>84</v>
      </c>
      <c r="J145" t="s">
        <v>10039</v>
      </c>
      <c r="L145" t="s">
        <v>1645</v>
      </c>
      <c r="M145" t="s">
        <v>29</v>
      </c>
      <c r="N145" t="s">
        <v>9946</v>
      </c>
    </row>
  </sheetData>
  <mergeCells count="1">
    <mergeCell ref="A1:F1"/>
  </mergeCells>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Q118"/>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c r="G1" s="43"/>
      <c r="H1" s="43"/>
      <c r="I1" s="43"/>
      <c r="J1" s="43"/>
      <c r="K1" s="43"/>
      <c r="L1" s="43"/>
      <c r="M1" s="43"/>
      <c r="N1" s="43"/>
      <c r="O1" s="43"/>
      <c r="P1" s="43"/>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8" t="s">
        <v>84</v>
      </c>
      <c r="B3" s="2" t="s">
        <v>10040</v>
      </c>
      <c r="C3" s="2"/>
      <c r="D3" s="2" t="s">
        <v>10041</v>
      </c>
      <c r="E3" s="2" t="s">
        <v>10042</v>
      </c>
      <c r="F3" s="2" t="s">
        <v>10043</v>
      </c>
      <c r="G3" s="2" t="s">
        <v>10044</v>
      </c>
      <c r="H3" s="2" t="s">
        <v>10045</v>
      </c>
      <c r="I3" s="8">
        <v>2</v>
      </c>
      <c r="J3" s="2" t="s">
        <v>10046</v>
      </c>
      <c r="K3" s="2"/>
      <c r="L3" s="2" t="s">
        <v>10047</v>
      </c>
      <c r="M3" s="2" t="s">
        <v>29</v>
      </c>
      <c r="N3" s="2" t="s">
        <v>10048</v>
      </c>
      <c r="O3" s="2"/>
      <c r="P3" s="2"/>
    </row>
    <row r="4" spans="1:16" ht="13.2" customHeight="1" x14ac:dyDescent="0.25">
      <c r="A4" s="8" t="s">
        <v>96</v>
      </c>
      <c r="B4" s="2" t="s">
        <v>10049</v>
      </c>
      <c r="C4" s="2"/>
      <c r="D4" s="2" t="s">
        <v>10050</v>
      </c>
      <c r="E4" s="2" t="s">
        <v>10051</v>
      </c>
      <c r="F4" s="2" t="s">
        <v>10052</v>
      </c>
      <c r="G4" s="2" t="s">
        <v>10053</v>
      </c>
      <c r="H4" s="2" t="s">
        <v>10054</v>
      </c>
      <c r="I4" s="8">
        <v>5</v>
      </c>
      <c r="J4" s="2" t="s">
        <v>10055</v>
      </c>
      <c r="K4" s="2"/>
      <c r="L4" s="2" t="s">
        <v>10047</v>
      </c>
      <c r="M4" s="2" t="s">
        <v>29</v>
      </c>
      <c r="N4" s="2" t="s">
        <v>10056</v>
      </c>
      <c r="O4" s="2"/>
      <c r="P4" s="2"/>
    </row>
    <row r="5" spans="1:16" ht="13.2" customHeight="1" x14ac:dyDescent="0.25">
      <c r="A5" s="8" t="s">
        <v>90</v>
      </c>
      <c r="B5" s="2" t="s">
        <v>10057</v>
      </c>
      <c r="C5" s="2"/>
      <c r="D5" s="2" t="s">
        <v>10058</v>
      </c>
      <c r="E5" s="2" t="s">
        <v>428</v>
      </c>
      <c r="F5" s="2" t="s">
        <v>10059</v>
      </c>
      <c r="G5" s="2" t="s">
        <v>10060</v>
      </c>
      <c r="H5" s="2" t="s">
        <v>10061</v>
      </c>
      <c r="I5" s="8">
        <v>1</v>
      </c>
      <c r="J5" s="2" t="s">
        <v>10062</v>
      </c>
      <c r="K5" s="2"/>
      <c r="L5" s="2" t="s">
        <v>10047</v>
      </c>
      <c r="M5" s="2" t="s">
        <v>29</v>
      </c>
      <c r="N5" s="2" t="s">
        <v>10063</v>
      </c>
      <c r="O5" s="2"/>
      <c r="P5" s="2"/>
    </row>
    <row r="6" spans="1:16" ht="13.2" customHeight="1" x14ac:dyDescent="0.25">
      <c r="A6" s="8" t="s">
        <v>113</v>
      </c>
      <c r="B6" s="2" t="s">
        <v>10064</v>
      </c>
      <c r="C6" s="2"/>
      <c r="D6" s="2" t="s">
        <v>10065</v>
      </c>
      <c r="E6" s="2" t="s">
        <v>10066</v>
      </c>
      <c r="F6" s="2" t="s">
        <v>10067</v>
      </c>
      <c r="G6" s="2" t="s">
        <v>10068</v>
      </c>
      <c r="H6" s="2" t="s">
        <v>10069</v>
      </c>
      <c r="I6" s="8">
        <v>1</v>
      </c>
      <c r="J6" s="2" t="s">
        <v>10070</v>
      </c>
      <c r="K6" s="2"/>
      <c r="L6" s="2" t="s">
        <v>10047</v>
      </c>
      <c r="M6" s="2" t="s">
        <v>29</v>
      </c>
      <c r="N6" s="2" t="s">
        <v>8154</v>
      </c>
      <c r="O6" s="2"/>
      <c r="P6" s="2"/>
    </row>
    <row r="7" spans="1:16" ht="13.2" customHeight="1" x14ac:dyDescent="0.25">
      <c r="A7" s="8" t="s">
        <v>123</v>
      </c>
      <c r="B7" s="2" t="s">
        <v>10071</v>
      </c>
      <c r="C7" s="2"/>
      <c r="D7" s="2" t="s">
        <v>10072</v>
      </c>
      <c r="E7" s="2" t="s">
        <v>10073</v>
      </c>
      <c r="F7" s="2" t="s">
        <v>10074</v>
      </c>
      <c r="G7" s="2" t="s">
        <v>10075</v>
      </c>
      <c r="H7" s="2" t="s">
        <v>10076</v>
      </c>
      <c r="I7" s="8">
        <v>2</v>
      </c>
      <c r="J7" s="2" t="s">
        <v>10077</v>
      </c>
      <c r="K7" s="2"/>
      <c r="L7" s="2" t="s">
        <v>10047</v>
      </c>
      <c r="M7" s="2" t="s">
        <v>29</v>
      </c>
      <c r="N7" s="2" t="s">
        <v>6478</v>
      </c>
      <c r="O7" s="2"/>
      <c r="P7" s="2"/>
    </row>
    <row r="8" spans="1:16" ht="13.2" customHeight="1" x14ac:dyDescent="0.25">
      <c r="A8" s="8" t="s">
        <v>132</v>
      </c>
      <c r="B8" s="2" t="s">
        <v>10078</v>
      </c>
      <c r="C8" s="2"/>
      <c r="D8" s="2" t="s">
        <v>10079</v>
      </c>
      <c r="E8" s="2" t="s">
        <v>10080</v>
      </c>
      <c r="F8" s="2" t="s">
        <v>10081</v>
      </c>
      <c r="G8" s="2" t="s">
        <v>10082</v>
      </c>
      <c r="H8" s="2" t="s">
        <v>9310</v>
      </c>
      <c r="I8" s="8">
        <v>5</v>
      </c>
      <c r="J8" s="2" t="s">
        <v>10083</v>
      </c>
      <c r="K8" s="2"/>
      <c r="L8" s="2" t="s">
        <v>10047</v>
      </c>
      <c r="M8" s="2" t="s">
        <v>29</v>
      </c>
      <c r="N8" s="2" t="s">
        <v>699</v>
      </c>
      <c r="O8" s="2"/>
      <c r="P8" s="2"/>
    </row>
    <row r="9" spans="1:16" ht="13.2" customHeight="1" x14ac:dyDescent="0.25">
      <c r="A9" s="8" t="s">
        <v>10084</v>
      </c>
      <c r="B9" s="2" t="s">
        <v>10085</v>
      </c>
      <c r="C9" s="2"/>
      <c r="D9" s="2" t="s">
        <v>10086</v>
      </c>
      <c r="E9" s="2" t="s">
        <v>10087</v>
      </c>
      <c r="F9" s="2" t="s">
        <v>10088</v>
      </c>
      <c r="G9" s="2" t="s">
        <v>10089</v>
      </c>
      <c r="H9" s="2" t="s">
        <v>10090</v>
      </c>
      <c r="I9" s="8">
        <v>1</v>
      </c>
      <c r="J9" s="2" t="s">
        <v>10091</v>
      </c>
      <c r="K9" s="2"/>
      <c r="L9" s="2" t="s">
        <v>10047</v>
      </c>
      <c r="M9" s="2" t="s">
        <v>29</v>
      </c>
      <c r="N9" s="2" t="s">
        <v>10092</v>
      </c>
      <c r="O9" s="2"/>
      <c r="P9" s="2"/>
    </row>
    <row r="10" spans="1:16" ht="13.2" customHeight="1" x14ac:dyDescent="0.25">
      <c r="A10" s="8" t="s">
        <v>10093</v>
      </c>
      <c r="B10" s="2" t="s">
        <v>10094</v>
      </c>
      <c r="C10" s="2"/>
      <c r="D10" s="2" t="s">
        <v>10095</v>
      </c>
      <c r="E10" s="2" t="s">
        <v>10096</v>
      </c>
      <c r="F10" s="2" t="s">
        <v>10097</v>
      </c>
      <c r="G10" s="2" t="s">
        <v>10098</v>
      </c>
      <c r="H10" s="2" t="s">
        <v>10099</v>
      </c>
      <c r="I10" s="8">
        <v>3</v>
      </c>
      <c r="J10" s="2" t="s">
        <v>10100</v>
      </c>
      <c r="K10" s="2"/>
      <c r="L10" s="2" t="s">
        <v>10047</v>
      </c>
      <c r="M10" s="2" t="s">
        <v>29</v>
      </c>
      <c r="N10" s="2" t="s">
        <v>10101</v>
      </c>
      <c r="O10" s="2"/>
      <c r="P10" s="2"/>
    </row>
    <row r="11" spans="1:16" ht="13.2" customHeight="1" x14ac:dyDescent="0.25">
      <c r="A11" s="8" t="s">
        <v>10102</v>
      </c>
      <c r="B11" s="2" t="s">
        <v>10103</v>
      </c>
      <c r="C11" s="2"/>
      <c r="D11" s="2" t="s">
        <v>10104</v>
      </c>
      <c r="E11" s="2" t="s">
        <v>10105</v>
      </c>
      <c r="F11" s="2" t="s">
        <v>10106</v>
      </c>
      <c r="G11" s="2" t="s">
        <v>10107</v>
      </c>
      <c r="H11" s="2" t="s">
        <v>10108</v>
      </c>
      <c r="I11" s="8">
        <v>1</v>
      </c>
      <c r="J11" s="2" t="s">
        <v>10109</v>
      </c>
      <c r="K11" s="2"/>
      <c r="L11" s="2" t="s">
        <v>10047</v>
      </c>
      <c r="M11" s="2" t="s">
        <v>29</v>
      </c>
      <c r="N11" s="2" t="s">
        <v>10110</v>
      </c>
      <c r="O11" s="2"/>
      <c r="P11" s="2"/>
    </row>
    <row r="12" spans="1:16" ht="13.2" customHeight="1" x14ac:dyDescent="0.25">
      <c r="A12" s="8" t="s">
        <v>10111</v>
      </c>
      <c r="B12" s="2" t="s">
        <v>10112</v>
      </c>
      <c r="C12" s="2"/>
      <c r="D12" s="2" t="s">
        <v>10113</v>
      </c>
      <c r="E12" s="2" t="s">
        <v>10114</v>
      </c>
      <c r="F12" s="2" t="s">
        <v>10115</v>
      </c>
      <c r="G12" s="2" t="s">
        <v>10116</v>
      </c>
      <c r="H12" s="2" t="s">
        <v>10117</v>
      </c>
      <c r="I12" s="8">
        <v>2</v>
      </c>
      <c r="J12" s="2" t="s">
        <v>10118</v>
      </c>
      <c r="K12" s="2"/>
      <c r="L12" s="2" t="s">
        <v>10047</v>
      </c>
      <c r="M12" s="2" t="s">
        <v>29</v>
      </c>
      <c r="N12" s="2" t="s">
        <v>2787</v>
      </c>
      <c r="O12" s="2"/>
      <c r="P12" s="2"/>
    </row>
    <row r="13" spans="1:16" ht="13.2" customHeight="1" x14ac:dyDescent="0.25">
      <c r="A13" s="8" t="s">
        <v>10119</v>
      </c>
      <c r="B13" s="2" t="s">
        <v>10120</v>
      </c>
      <c r="C13" s="2"/>
      <c r="D13" s="2" t="s">
        <v>10027</v>
      </c>
      <c r="E13" s="2" t="s">
        <v>9585</v>
      </c>
      <c r="F13" s="2" t="s">
        <v>10028</v>
      </c>
      <c r="G13" s="2" t="s">
        <v>10029</v>
      </c>
      <c r="H13" s="2" t="s">
        <v>424</v>
      </c>
      <c r="I13" s="8">
        <v>5</v>
      </c>
      <c r="J13" s="2" t="s">
        <v>10121</v>
      </c>
      <c r="K13" s="2"/>
      <c r="L13" s="2" t="s">
        <v>10047</v>
      </c>
      <c r="M13" s="2" t="s">
        <v>29</v>
      </c>
      <c r="N13" s="2" t="s">
        <v>10122</v>
      </c>
      <c r="O13" s="2"/>
      <c r="P13" s="2"/>
    </row>
    <row r="14" spans="1:16" ht="13.2" customHeight="1" x14ac:dyDescent="0.25">
      <c r="A14" s="8" t="s">
        <v>10123</v>
      </c>
      <c r="B14" s="2" t="s">
        <v>10124</v>
      </c>
      <c r="C14" s="2"/>
      <c r="D14" s="2" t="s">
        <v>10113</v>
      </c>
      <c r="E14" s="2" t="s">
        <v>10125</v>
      </c>
      <c r="F14" s="2" t="s">
        <v>10126</v>
      </c>
      <c r="G14" s="2" t="s">
        <v>10127</v>
      </c>
      <c r="H14" s="2" t="s">
        <v>10128</v>
      </c>
      <c r="I14" s="8">
        <v>3</v>
      </c>
      <c r="J14" s="2" t="s">
        <v>10129</v>
      </c>
      <c r="K14" s="2"/>
      <c r="L14" s="2" t="s">
        <v>10047</v>
      </c>
      <c r="M14" s="2" t="s">
        <v>29</v>
      </c>
      <c r="N14" s="2" t="s">
        <v>8350</v>
      </c>
      <c r="O14" s="2"/>
      <c r="P14" s="2"/>
    </row>
    <row r="15" spans="1:16" ht="13.2" customHeight="1" x14ac:dyDescent="0.25">
      <c r="A15" s="8" t="s">
        <v>10130</v>
      </c>
      <c r="B15" s="2" t="s">
        <v>10131</v>
      </c>
      <c r="C15" s="2"/>
      <c r="D15" s="2" t="s">
        <v>10132</v>
      </c>
      <c r="E15" s="2" t="s">
        <v>10133</v>
      </c>
      <c r="F15" s="2" t="s">
        <v>10134</v>
      </c>
      <c r="G15" s="2" t="s">
        <v>9815</v>
      </c>
      <c r="H15" s="2" t="s">
        <v>5489</v>
      </c>
      <c r="I15" s="8">
        <v>5</v>
      </c>
      <c r="J15" s="2" t="s">
        <v>10135</v>
      </c>
      <c r="K15" s="2"/>
      <c r="L15" s="2" t="s">
        <v>10047</v>
      </c>
      <c r="M15" s="2" t="s">
        <v>29</v>
      </c>
      <c r="N15" s="2" t="s">
        <v>10136</v>
      </c>
      <c r="O15" s="2"/>
      <c r="P15" s="2"/>
    </row>
    <row r="16" spans="1:16" ht="13.2" customHeight="1" x14ac:dyDescent="0.25">
      <c r="A16" s="8" t="s">
        <v>10137</v>
      </c>
      <c r="B16" s="2" t="s">
        <v>10138</v>
      </c>
      <c r="C16" s="2"/>
      <c r="D16" s="2" t="s">
        <v>8748</v>
      </c>
      <c r="E16" s="2" t="s">
        <v>10139</v>
      </c>
      <c r="F16" s="2" t="s">
        <v>3111</v>
      </c>
      <c r="G16" s="2" t="s">
        <v>10140</v>
      </c>
      <c r="H16" s="2" t="s">
        <v>10082</v>
      </c>
      <c r="I16" s="8">
        <v>3</v>
      </c>
      <c r="J16" s="2" t="s">
        <v>10141</v>
      </c>
      <c r="K16" s="2"/>
      <c r="L16" s="2" t="s">
        <v>10047</v>
      </c>
      <c r="M16" s="2" t="s">
        <v>29</v>
      </c>
      <c r="N16" s="2" t="s">
        <v>5321</v>
      </c>
      <c r="O16" s="2"/>
      <c r="P16" s="2"/>
    </row>
    <row r="17" spans="1:16" ht="13.2" customHeight="1" x14ac:dyDescent="0.25">
      <c r="A17" s="8" t="s">
        <v>10142</v>
      </c>
      <c r="B17" s="2" t="s">
        <v>10143</v>
      </c>
      <c r="C17" s="2"/>
      <c r="D17" s="2" t="s">
        <v>10079</v>
      </c>
      <c r="E17" s="2" t="s">
        <v>10144</v>
      </c>
      <c r="F17" s="2" t="s">
        <v>3111</v>
      </c>
      <c r="G17" s="2" t="s">
        <v>10080</v>
      </c>
      <c r="H17" s="2" t="s">
        <v>10082</v>
      </c>
      <c r="I17" s="8">
        <v>5</v>
      </c>
      <c r="J17" s="2" t="s">
        <v>10145</v>
      </c>
      <c r="K17" s="2"/>
      <c r="L17" s="2" t="s">
        <v>10047</v>
      </c>
      <c r="M17" s="2" t="s">
        <v>29</v>
      </c>
      <c r="N17" s="2" t="s">
        <v>5329</v>
      </c>
      <c r="O17" s="2"/>
      <c r="P17" s="2"/>
    </row>
    <row r="18" spans="1:16" ht="13.2" customHeight="1" x14ac:dyDescent="0.25">
      <c r="A18" s="8" t="s">
        <v>10146</v>
      </c>
      <c r="B18" s="2" t="s">
        <v>10147</v>
      </c>
      <c r="C18" s="2"/>
      <c r="D18" s="2" t="s">
        <v>10148</v>
      </c>
      <c r="E18" s="2" t="s">
        <v>10149</v>
      </c>
      <c r="F18" s="2" t="s">
        <v>10150</v>
      </c>
      <c r="G18" s="2" t="s">
        <v>10151</v>
      </c>
      <c r="H18" s="2" t="s">
        <v>10152</v>
      </c>
      <c r="I18" s="8">
        <v>2</v>
      </c>
      <c r="J18" s="2" t="s">
        <v>10153</v>
      </c>
      <c r="K18" s="2"/>
      <c r="L18" s="2" t="s">
        <v>10047</v>
      </c>
      <c r="M18" s="2" t="s">
        <v>29</v>
      </c>
      <c r="N18" s="2" t="s">
        <v>765</v>
      </c>
      <c r="O18" s="2"/>
      <c r="P18" s="2"/>
    </row>
    <row r="19" spans="1:16" ht="13.2" customHeight="1" x14ac:dyDescent="0.25">
      <c r="A19" s="8" t="s">
        <v>10154</v>
      </c>
      <c r="B19" s="2" t="s">
        <v>10155</v>
      </c>
      <c r="C19" s="2"/>
      <c r="D19" s="2" t="s">
        <v>10156</v>
      </c>
      <c r="E19" s="2" t="s">
        <v>10157</v>
      </c>
      <c r="F19" s="2" t="s">
        <v>10158</v>
      </c>
      <c r="G19" s="2" t="s">
        <v>10159</v>
      </c>
      <c r="H19" s="2" t="s">
        <v>10160</v>
      </c>
      <c r="I19" s="8">
        <v>4</v>
      </c>
      <c r="J19" s="2" t="s">
        <v>10161</v>
      </c>
      <c r="K19" s="2"/>
      <c r="L19" s="2" t="s">
        <v>10047</v>
      </c>
      <c r="M19" s="2" t="s">
        <v>29</v>
      </c>
      <c r="N19" s="2" t="s">
        <v>7120</v>
      </c>
      <c r="O19" s="2"/>
      <c r="P19" s="2"/>
    </row>
    <row r="20" spans="1:16" ht="13.2" customHeight="1" x14ac:dyDescent="0.25">
      <c r="A20" s="8" t="s">
        <v>10162</v>
      </c>
      <c r="B20" s="2" t="s">
        <v>10163</v>
      </c>
      <c r="C20" s="2"/>
      <c r="D20" s="2" t="s">
        <v>10164</v>
      </c>
      <c r="E20" s="2" t="s">
        <v>5489</v>
      </c>
      <c r="F20" s="2" t="s">
        <v>10165</v>
      </c>
      <c r="G20" s="2" t="s">
        <v>10166</v>
      </c>
      <c r="H20" s="2" t="s">
        <v>10167</v>
      </c>
      <c r="I20" s="8">
        <v>5</v>
      </c>
      <c r="J20" s="2" t="s">
        <v>10168</v>
      </c>
      <c r="K20" s="2"/>
      <c r="L20" s="2" t="s">
        <v>10058</v>
      </c>
      <c r="M20" s="2" t="s">
        <v>29</v>
      </c>
      <c r="N20" s="2" t="s">
        <v>8451</v>
      </c>
      <c r="O20" s="2"/>
      <c r="P20" s="2"/>
    </row>
    <row r="21" spans="1:16" ht="13.2" customHeight="1" x14ac:dyDescent="0.25">
      <c r="A21" s="8" t="s">
        <v>10169</v>
      </c>
      <c r="B21" s="2" t="s">
        <v>10170</v>
      </c>
      <c r="C21" s="2"/>
      <c r="D21" s="2" t="s">
        <v>10116</v>
      </c>
      <c r="E21" s="2" t="s">
        <v>10171</v>
      </c>
      <c r="F21" s="2" t="s">
        <v>10172</v>
      </c>
      <c r="G21" s="2" t="s">
        <v>10173</v>
      </c>
      <c r="H21" s="2" t="s">
        <v>10174</v>
      </c>
      <c r="I21" s="8">
        <v>3</v>
      </c>
      <c r="J21" s="2" t="s">
        <v>10175</v>
      </c>
      <c r="K21" s="2"/>
      <c r="L21" s="2" t="s">
        <v>10047</v>
      </c>
      <c r="M21" s="2" t="s">
        <v>29</v>
      </c>
      <c r="N21" s="2" t="s">
        <v>10176</v>
      </c>
      <c r="O21" s="2"/>
      <c r="P21" s="2"/>
    </row>
    <row r="22" spans="1:16" ht="13.2" customHeight="1" x14ac:dyDescent="0.25">
      <c r="A22" s="8" t="s">
        <v>10177</v>
      </c>
      <c r="B22" s="2" t="s">
        <v>10178</v>
      </c>
      <c r="C22" s="2"/>
      <c r="D22" s="2" t="s">
        <v>9515</v>
      </c>
      <c r="E22" s="2" t="s">
        <v>10179</v>
      </c>
      <c r="F22" s="2" t="s">
        <v>519</v>
      </c>
      <c r="G22" s="2" t="s">
        <v>10180</v>
      </c>
      <c r="H22" s="2" t="s">
        <v>10181</v>
      </c>
      <c r="I22" s="8">
        <v>2</v>
      </c>
      <c r="J22" s="2" t="s">
        <v>10182</v>
      </c>
      <c r="K22" s="2"/>
      <c r="L22" s="2" t="s">
        <v>10047</v>
      </c>
      <c r="M22" s="2" t="s">
        <v>29</v>
      </c>
      <c r="N22" s="2" t="s">
        <v>5359</v>
      </c>
      <c r="O22" s="2"/>
      <c r="P22" s="2"/>
    </row>
    <row r="23" spans="1:16" ht="13.2" customHeight="1" x14ac:dyDescent="0.25">
      <c r="A23" s="8" t="s">
        <v>10183</v>
      </c>
      <c r="B23" s="2" t="s">
        <v>10184</v>
      </c>
      <c r="C23" s="2"/>
      <c r="D23" s="2" t="s">
        <v>5023</v>
      </c>
      <c r="E23" s="2" t="s">
        <v>10185</v>
      </c>
      <c r="F23" s="2" t="s">
        <v>10186</v>
      </c>
      <c r="G23" s="2" t="s">
        <v>10187</v>
      </c>
      <c r="H23" s="2" t="s">
        <v>6955</v>
      </c>
      <c r="I23" s="8">
        <v>2</v>
      </c>
      <c r="J23" s="2" t="s">
        <v>10188</v>
      </c>
      <c r="K23" s="2"/>
      <c r="L23" s="2" t="s">
        <v>10047</v>
      </c>
      <c r="M23" s="2" t="s">
        <v>29</v>
      </c>
      <c r="N23" s="2" t="s">
        <v>793</v>
      </c>
      <c r="O23" s="2"/>
      <c r="P23" s="2"/>
    </row>
    <row r="24" spans="1:16" ht="13.2" customHeight="1" x14ac:dyDescent="0.25">
      <c r="A24" s="8" t="s">
        <v>10189</v>
      </c>
      <c r="B24" s="2" t="s">
        <v>10190</v>
      </c>
      <c r="C24" s="2"/>
      <c r="D24" s="2" t="s">
        <v>10191</v>
      </c>
      <c r="E24" s="2" t="s">
        <v>10192</v>
      </c>
      <c r="F24" s="2" t="s">
        <v>10193</v>
      </c>
      <c r="G24" s="2" t="s">
        <v>10194</v>
      </c>
      <c r="H24" s="2" t="s">
        <v>10195</v>
      </c>
      <c r="I24" s="8">
        <v>5</v>
      </c>
      <c r="J24" s="2" t="s">
        <v>10196</v>
      </c>
      <c r="K24" s="2"/>
      <c r="L24" s="2" t="s">
        <v>10047</v>
      </c>
      <c r="M24" s="2" t="s">
        <v>29</v>
      </c>
      <c r="N24" s="2" t="s">
        <v>801</v>
      </c>
      <c r="O24" s="2"/>
      <c r="P24" s="2"/>
    </row>
    <row r="25" spans="1:16" ht="13.2" customHeight="1" x14ac:dyDescent="0.25">
      <c r="A25" s="8" t="s">
        <v>10197</v>
      </c>
      <c r="B25" s="2" t="s">
        <v>10198</v>
      </c>
      <c r="C25" s="2"/>
      <c r="D25" s="2" t="s">
        <v>10199</v>
      </c>
      <c r="E25" s="2" t="s">
        <v>10200</v>
      </c>
      <c r="F25" s="2" t="s">
        <v>10201</v>
      </c>
      <c r="G25" s="2" t="s">
        <v>10202</v>
      </c>
      <c r="H25" s="2" t="s">
        <v>10203</v>
      </c>
      <c r="I25" s="8">
        <v>4</v>
      </c>
      <c r="J25" s="2" t="s">
        <v>10204</v>
      </c>
      <c r="K25" s="2"/>
      <c r="L25" s="2" t="s">
        <v>10205</v>
      </c>
      <c r="M25" s="2" t="s">
        <v>29</v>
      </c>
      <c r="N25" s="2" t="s">
        <v>10206</v>
      </c>
      <c r="O25" s="2"/>
      <c r="P25" s="2"/>
    </row>
    <row r="26" spans="1:16" ht="13.2" customHeight="1" x14ac:dyDescent="0.25">
      <c r="A26" s="8" t="s">
        <v>10207</v>
      </c>
      <c r="B26" s="2" t="s">
        <v>10208</v>
      </c>
      <c r="C26" s="2"/>
      <c r="D26" s="2" t="s">
        <v>10195</v>
      </c>
      <c r="E26" s="2" t="s">
        <v>10209</v>
      </c>
      <c r="F26" s="2" t="s">
        <v>10210</v>
      </c>
      <c r="G26" s="2" t="s">
        <v>10211</v>
      </c>
      <c r="H26" s="2" t="s">
        <v>10212</v>
      </c>
      <c r="I26" s="8">
        <v>4</v>
      </c>
      <c r="J26" s="2" t="s">
        <v>10213</v>
      </c>
      <c r="K26" s="2"/>
      <c r="L26" s="2" t="s">
        <v>10047</v>
      </c>
      <c r="M26" s="2" t="s">
        <v>29</v>
      </c>
      <c r="N26" s="2" t="s">
        <v>2893</v>
      </c>
      <c r="O26" s="2"/>
      <c r="P26" s="2"/>
    </row>
    <row r="27" spans="1:16" ht="13.2" customHeight="1" x14ac:dyDescent="0.25">
      <c r="A27" s="8" t="s">
        <v>10214</v>
      </c>
      <c r="B27" s="2" t="s">
        <v>10215</v>
      </c>
      <c r="C27" s="2"/>
      <c r="D27" s="2" t="s">
        <v>10216</v>
      </c>
      <c r="E27" s="2" t="s">
        <v>10217</v>
      </c>
      <c r="F27" s="2" t="s">
        <v>10218</v>
      </c>
      <c r="G27" s="2" t="s">
        <v>10219</v>
      </c>
      <c r="H27" s="2" t="s">
        <v>10220</v>
      </c>
      <c r="I27" s="8">
        <v>4</v>
      </c>
      <c r="J27" s="2" t="s">
        <v>10221</v>
      </c>
      <c r="K27" s="2"/>
      <c r="L27" s="2" t="s">
        <v>10047</v>
      </c>
      <c r="M27" s="2" t="s">
        <v>29</v>
      </c>
      <c r="N27" s="2" t="s">
        <v>825</v>
      </c>
      <c r="O27" s="2"/>
      <c r="P27" s="2"/>
    </row>
    <row r="28" spans="1:16" ht="13.2" customHeight="1" x14ac:dyDescent="0.25">
      <c r="A28" s="8" t="s">
        <v>10222</v>
      </c>
      <c r="B28" s="2" t="s">
        <v>10223</v>
      </c>
      <c r="C28" s="2"/>
      <c r="D28" s="2" t="s">
        <v>10224</v>
      </c>
      <c r="E28" s="2" t="s">
        <v>10225</v>
      </c>
      <c r="F28" s="2" t="s">
        <v>10226</v>
      </c>
      <c r="G28" s="2" t="s">
        <v>10227</v>
      </c>
      <c r="H28" s="2" t="s">
        <v>10228</v>
      </c>
      <c r="I28" s="8">
        <v>1</v>
      </c>
      <c r="J28" s="2" t="s">
        <v>10229</v>
      </c>
      <c r="K28" s="2"/>
      <c r="L28" s="2" t="s">
        <v>10047</v>
      </c>
      <c r="M28" s="2" t="s">
        <v>29</v>
      </c>
      <c r="N28" s="2" t="s">
        <v>10230</v>
      </c>
      <c r="O28" s="2"/>
      <c r="P28" s="2"/>
    </row>
    <row r="29" spans="1:16" ht="13.2" customHeight="1" x14ac:dyDescent="0.25">
      <c r="A29" s="8" t="s">
        <v>10231</v>
      </c>
      <c r="B29" s="2" t="s">
        <v>10232</v>
      </c>
      <c r="C29" s="2"/>
      <c r="D29" s="2" t="s">
        <v>10233</v>
      </c>
      <c r="E29" s="2" t="s">
        <v>10234</v>
      </c>
      <c r="F29" s="2" t="s">
        <v>10028</v>
      </c>
      <c r="G29" s="2" t="s">
        <v>10235</v>
      </c>
      <c r="H29" s="2" t="s">
        <v>10236</v>
      </c>
      <c r="I29" s="8">
        <v>2</v>
      </c>
      <c r="J29" s="2" t="s">
        <v>10237</v>
      </c>
      <c r="K29" s="2"/>
      <c r="L29" s="2" t="s">
        <v>10047</v>
      </c>
      <c r="M29" s="2" t="s">
        <v>29</v>
      </c>
      <c r="N29" s="2" t="s">
        <v>6617</v>
      </c>
      <c r="O29" s="2"/>
      <c r="P29" s="2"/>
    </row>
    <row r="30" spans="1:16" ht="13.2" customHeight="1" x14ac:dyDescent="0.25">
      <c r="A30" s="8" t="s">
        <v>10238</v>
      </c>
      <c r="B30" s="2" t="s">
        <v>10239</v>
      </c>
      <c r="C30" s="2"/>
      <c r="D30" s="2" t="s">
        <v>10240</v>
      </c>
      <c r="E30" s="2" t="s">
        <v>10241</v>
      </c>
      <c r="F30" s="2" t="s">
        <v>10242</v>
      </c>
      <c r="G30" s="2" t="s">
        <v>10243</v>
      </c>
      <c r="H30" s="2" t="s">
        <v>10244</v>
      </c>
      <c r="I30" s="8">
        <v>5</v>
      </c>
      <c r="J30" s="2" t="s">
        <v>10245</v>
      </c>
      <c r="K30" s="2"/>
      <c r="L30" s="2" t="s">
        <v>10047</v>
      </c>
      <c r="M30" s="2" t="s">
        <v>29</v>
      </c>
      <c r="N30" s="2" t="s">
        <v>6622</v>
      </c>
      <c r="O30" s="2"/>
      <c r="P30" s="2"/>
    </row>
    <row r="31" spans="1:16" ht="13.2" customHeight="1" x14ac:dyDescent="0.25">
      <c r="A31" s="8" t="s">
        <v>10246</v>
      </c>
      <c r="B31" s="2" t="s">
        <v>10247</v>
      </c>
      <c r="C31" s="2"/>
      <c r="D31" s="2" t="s">
        <v>9605</v>
      </c>
      <c r="E31" s="2" t="s">
        <v>10248</v>
      </c>
      <c r="F31" s="2" t="s">
        <v>9607</v>
      </c>
      <c r="G31" s="2" t="s">
        <v>9608</v>
      </c>
      <c r="H31" s="2" t="s">
        <v>9609</v>
      </c>
      <c r="I31" s="8">
        <v>5</v>
      </c>
      <c r="J31" s="2" t="s">
        <v>10249</v>
      </c>
      <c r="K31" s="2"/>
      <c r="L31" s="2" t="s">
        <v>10058</v>
      </c>
      <c r="M31" s="2" t="s">
        <v>29</v>
      </c>
      <c r="N31" s="2" t="s">
        <v>849</v>
      </c>
      <c r="O31" s="2"/>
      <c r="P31" s="2"/>
    </row>
    <row r="32" spans="1:16" ht="13.2" customHeight="1" x14ac:dyDescent="0.25">
      <c r="A32" s="8" t="s">
        <v>10250</v>
      </c>
      <c r="B32" s="2" t="s">
        <v>10251</v>
      </c>
      <c r="C32" s="2"/>
      <c r="D32" s="2" t="s">
        <v>10252</v>
      </c>
      <c r="E32" s="2" t="s">
        <v>9613</v>
      </c>
      <c r="F32" s="2" t="s">
        <v>10253</v>
      </c>
      <c r="G32" s="2" t="s">
        <v>10254</v>
      </c>
      <c r="H32" s="2" t="s">
        <v>10255</v>
      </c>
      <c r="I32" s="8">
        <v>4</v>
      </c>
      <c r="J32" s="2" t="s">
        <v>10256</v>
      </c>
      <c r="K32" s="2"/>
      <c r="L32" s="2" t="s">
        <v>10058</v>
      </c>
      <c r="M32" s="2" t="s">
        <v>29</v>
      </c>
      <c r="N32" s="2" t="s">
        <v>8548</v>
      </c>
      <c r="O32" s="2"/>
      <c r="P32" s="2"/>
    </row>
    <row r="33" spans="1:17" ht="13.2" customHeight="1" x14ac:dyDescent="0.25">
      <c r="A33" s="8" t="s">
        <v>10257</v>
      </c>
      <c r="B33" s="2" t="s">
        <v>10258</v>
      </c>
      <c r="C33" s="2"/>
      <c r="D33" s="2" t="s">
        <v>3174</v>
      </c>
      <c r="E33" s="2" t="s">
        <v>9321</v>
      </c>
      <c r="F33" s="2" t="s">
        <v>10259</v>
      </c>
      <c r="G33" s="2" t="s">
        <v>10164</v>
      </c>
      <c r="H33" s="2" t="s">
        <v>9815</v>
      </c>
      <c r="I33" s="8">
        <v>5</v>
      </c>
      <c r="J33" s="2" t="s">
        <v>10260</v>
      </c>
      <c r="K33" s="2"/>
      <c r="L33" s="2" t="s">
        <v>10058</v>
      </c>
      <c r="M33" s="2" t="s">
        <v>29</v>
      </c>
      <c r="N33" s="2" t="s">
        <v>865</v>
      </c>
      <c r="O33" s="2"/>
      <c r="P33" s="2"/>
    </row>
    <row r="34" spans="1:17" ht="13.2" customHeight="1" x14ac:dyDescent="0.25">
      <c r="A34" s="8" t="s">
        <v>10261</v>
      </c>
      <c r="B34" s="2" t="s">
        <v>10262</v>
      </c>
      <c r="C34" s="2"/>
      <c r="D34" s="2" t="s">
        <v>10263</v>
      </c>
      <c r="E34" s="2" t="s">
        <v>10167</v>
      </c>
      <c r="F34" s="2" t="s">
        <v>10166</v>
      </c>
      <c r="G34" s="2" t="s">
        <v>5489</v>
      </c>
      <c r="H34" s="2" t="s">
        <v>10264</v>
      </c>
      <c r="I34" s="8">
        <v>1</v>
      </c>
      <c r="J34" s="2" t="s">
        <v>10265</v>
      </c>
      <c r="K34" s="2"/>
      <c r="L34" s="2" t="s">
        <v>10058</v>
      </c>
      <c r="M34" s="2" t="s">
        <v>29</v>
      </c>
      <c r="N34" s="2" t="s">
        <v>10266</v>
      </c>
      <c r="O34" s="2"/>
      <c r="P34" s="2"/>
    </row>
    <row r="35" spans="1:17" ht="13.2" customHeight="1" x14ac:dyDescent="0.25">
      <c r="A35" s="8" t="s">
        <v>10267</v>
      </c>
      <c r="B35" s="2" t="s">
        <v>10268</v>
      </c>
      <c r="C35" s="2"/>
      <c r="D35" s="2" t="s">
        <v>10269</v>
      </c>
      <c r="E35" s="2" t="s">
        <v>10270</v>
      </c>
      <c r="F35" s="2" t="s">
        <v>10271</v>
      </c>
      <c r="G35" s="2" t="s">
        <v>10272</v>
      </c>
      <c r="H35" s="2" t="s">
        <v>10273</v>
      </c>
      <c r="I35" s="8">
        <v>5</v>
      </c>
      <c r="J35" s="2" t="s">
        <v>10274</v>
      </c>
      <c r="K35" s="2"/>
      <c r="L35" s="2" t="s">
        <v>10058</v>
      </c>
      <c r="M35" s="2" t="s">
        <v>29</v>
      </c>
      <c r="N35" s="2" t="s">
        <v>877</v>
      </c>
      <c r="O35" s="2"/>
      <c r="P35" s="2"/>
    </row>
    <row r="36" spans="1:17" ht="13.2" customHeight="1" x14ac:dyDescent="0.25">
      <c r="A36" s="8" t="s">
        <v>10275</v>
      </c>
      <c r="B36" s="2" t="s">
        <v>10276</v>
      </c>
      <c r="C36" s="2"/>
      <c r="D36" s="2" t="s">
        <v>10277</v>
      </c>
      <c r="E36" s="2" t="s">
        <v>10278</v>
      </c>
      <c r="F36" s="2" t="s">
        <v>10279</v>
      </c>
      <c r="G36" s="2" t="s">
        <v>10280</v>
      </c>
      <c r="H36" s="2" t="s">
        <v>10281</v>
      </c>
      <c r="I36" s="8">
        <v>1</v>
      </c>
      <c r="J36" s="2" t="s">
        <v>10282</v>
      </c>
      <c r="K36" s="2"/>
      <c r="L36" s="2" t="s">
        <v>10058</v>
      </c>
      <c r="M36" s="2" t="s">
        <v>10283</v>
      </c>
      <c r="N36" s="2" t="s">
        <v>10284</v>
      </c>
      <c r="O36" s="2"/>
      <c r="P36" s="2"/>
      <c r="Q36" s="2"/>
    </row>
    <row r="37" spans="1:17" ht="13.2" customHeight="1" x14ac:dyDescent="0.25">
      <c r="A37" s="8" t="s">
        <v>10285</v>
      </c>
      <c r="B37" s="2" t="s">
        <v>10286</v>
      </c>
      <c r="C37" s="2"/>
      <c r="D37" s="2" t="s">
        <v>10287</v>
      </c>
      <c r="E37" s="2" t="s">
        <v>10288</v>
      </c>
      <c r="F37" s="2" t="s">
        <v>8707</v>
      </c>
      <c r="G37" s="2" t="s">
        <v>10289</v>
      </c>
      <c r="H37" s="2" t="s">
        <v>10290</v>
      </c>
      <c r="I37" s="8">
        <v>1</v>
      </c>
      <c r="J37" s="2" t="s">
        <v>10291</v>
      </c>
      <c r="K37" s="2"/>
      <c r="L37" s="2" t="s">
        <v>10292</v>
      </c>
      <c r="M37" s="2" t="s">
        <v>10283</v>
      </c>
      <c r="N37" s="2" t="s">
        <v>10293</v>
      </c>
      <c r="O37" s="2"/>
      <c r="P37" s="2"/>
      <c r="Q37" s="2"/>
    </row>
    <row r="38" spans="1:17" ht="13.2" customHeight="1" x14ac:dyDescent="0.25">
      <c r="A38" s="8" t="s">
        <v>10294</v>
      </c>
      <c r="B38" s="2" t="s">
        <v>10295</v>
      </c>
      <c r="C38" s="2"/>
      <c r="D38" s="2" t="s">
        <v>10296</v>
      </c>
      <c r="E38" s="2" t="s">
        <v>10297</v>
      </c>
      <c r="F38" s="2" t="s">
        <v>10298</v>
      </c>
      <c r="G38" s="2" t="s">
        <v>10299</v>
      </c>
      <c r="H38" s="2" t="s">
        <v>1913</v>
      </c>
      <c r="I38" s="8">
        <v>1</v>
      </c>
      <c r="J38" s="2" t="s">
        <v>10300</v>
      </c>
      <c r="K38" s="2"/>
      <c r="L38" s="2" t="s">
        <v>10058</v>
      </c>
      <c r="M38" s="2" t="s">
        <v>10283</v>
      </c>
      <c r="N38" s="2" t="s">
        <v>10301</v>
      </c>
      <c r="O38" s="2"/>
      <c r="P38" s="2"/>
      <c r="Q38" s="2"/>
    </row>
    <row r="39" spans="1:17" ht="13.2" customHeight="1" x14ac:dyDescent="0.25">
      <c r="A39" s="8" t="s">
        <v>10302</v>
      </c>
      <c r="B39" s="2" t="s">
        <v>10303</v>
      </c>
      <c r="C39" s="2"/>
      <c r="D39" s="2" t="s">
        <v>10283</v>
      </c>
      <c r="E39" s="2" t="s">
        <v>10299</v>
      </c>
      <c r="F39" s="2" t="s">
        <v>10304</v>
      </c>
      <c r="G39" s="2" t="s">
        <v>10305</v>
      </c>
      <c r="H39" s="2" t="s">
        <v>10306</v>
      </c>
      <c r="I39" s="8">
        <v>1</v>
      </c>
      <c r="J39" s="2" t="s">
        <v>10307</v>
      </c>
      <c r="K39" s="2"/>
      <c r="L39" s="2" t="s">
        <v>10292</v>
      </c>
      <c r="M39" s="2" t="s">
        <v>10283</v>
      </c>
      <c r="N39" s="2" t="s">
        <v>10308</v>
      </c>
      <c r="O39" s="2"/>
      <c r="P39" s="2"/>
    </row>
    <row r="40" spans="1:17" ht="13.2" customHeight="1" x14ac:dyDescent="0.25">
      <c r="A40" s="8" t="s">
        <v>10309</v>
      </c>
      <c r="B40" s="2" t="s">
        <v>10310</v>
      </c>
      <c r="C40" s="2"/>
      <c r="D40" s="2" t="s">
        <v>10283</v>
      </c>
      <c r="E40" s="2" t="s">
        <v>10306</v>
      </c>
      <c r="F40" s="2" t="s">
        <v>10311</v>
      </c>
      <c r="G40" s="2" t="s">
        <v>10312</v>
      </c>
      <c r="H40" s="2" t="s">
        <v>10313</v>
      </c>
      <c r="I40" s="8">
        <v>1</v>
      </c>
      <c r="J40" s="2" t="s">
        <v>10314</v>
      </c>
      <c r="K40" s="2"/>
      <c r="L40" s="2" t="s">
        <v>10292</v>
      </c>
      <c r="M40" s="2" t="s">
        <v>10283</v>
      </c>
      <c r="N40" s="2" t="s">
        <v>10315</v>
      </c>
      <c r="O40" s="2"/>
      <c r="P40" s="2"/>
    </row>
    <row r="41" spans="1:17" ht="13.2" customHeight="1" x14ac:dyDescent="0.25">
      <c r="A41" s="8" t="s">
        <v>10316</v>
      </c>
      <c r="B41" s="2" t="s">
        <v>10317</v>
      </c>
      <c r="C41" s="2"/>
      <c r="D41" s="2" t="s">
        <v>10318</v>
      </c>
      <c r="E41" s="2" t="s">
        <v>10319</v>
      </c>
      <c r="F41" s="2" t="s">
        <v>10320</v>
      </c>
      <c r="G41" s="2" t="s">
        <v>10296</v>
      </c>
      <c r="H41" s="2" t="s">
        <v>424</v>
      </c>
      <c r="I41" s="8">
        <v>1</v>
      </c>
      <c r="J41" s="2" t="s">
        <v>10321</v>
      </c>
      <c r="K41" s="2"/>
      <c r="L41" s="2" t="s">
        <v>10047</v>
      </c>
      <c r="M41" s="2" t="s">
        <v>10283</v>
      </c>
      <c r="N41" s="2" t="s">
        <v>10322</v>
      </c>
      <c r="O41" s="2"/>
      <c r="P41" s="2"/>
      <c r="Q41" s="2"/>
    </row>
    <row r="42" spans="1:17" ht="13.2" customHeight="1" x14ac:dyDescent="0.25">
      <c r="A42" s="8" t="s">
        <v>10323</v>
      </c>
      <c r="B42" s="2" t="s">
        <v>10324</v>
      </c>
      <c r="C42" s="2"/>
      <c r="D42" s="2" t="s">
        <v>10283</v>
      </c>
      <c r="E42" s="2" t="s">
        <v>10296</v>
      </c>
      <c r="F42" s="2" t="s">
        <v>10297</v>
      </c>
      <c r="G42" s="2" t="s">
        <v>10298</v>
      </c>
      <c r="H42" s="2" t="s">
        <v>10299</v>
      </c>
      <c r="I42" s="8">
        <v>1</v>
      </c>
      <c r="J42" s="2" t="s">
        <v>10325</v>
      </c>
      <c r="K42" s="2"/>
      <c r="L42" s="2" t="s">
        <v>10047</v>
      </c>
      <c r="M42" s="2" t="s">
        <v>10283</v>
      </c>
      <c r="N42" s="2" t="s">
        <v>10326</v>
      </c>
      <c r="O42" s="2"/>
      <c r="P42" s="2"/>
    </row>
    <row r="43" spans="1:17" ht="13.2" customHeight="1" x14ac:dyDescent="0.25">
      <c r="A43" s="8" t="s">
        <v>10327</v>
      </c>
      <c r="B43" s="2" t="s">
        <v>10328</v>
      </c>
      <c r="C43" s="2"/>
      <c r="D43" s="2" t="s">
        <v>10283</v>
      </c>
      <c r="E43" s="2" t="s">
        <v>10329</v>
      </c>
      <c r="F43" s="2" t="s">
        <v>10330</v>
      </c>
      <c r="G43" s="2" t="s">
        <v>10305</v>
      </c>
      <c r="H43" s="2" t="s">
        <v>10306</v>
      </c>
      <c r="I43" s="8">
        <v>1</v>
      </c>
      <c r="J43" s="2" t="s">
        <v>10331</v>
      </c>
      <c r="K43" s="2"/>
      <c r="L43" s="2" t="s">
        <v>10047</v>
      </c>
      <c r="M43" s="2" t="s">
        <v>10283</v>
      </c>
      <c r="N43" s="2" t="s">
        <v>10332</v>
      </c>
      <c r="O43" s="2"/>
      <c r="P43" s="2"/>
    </row>
    <row r="44" spans="1:17" ht="13.2" customHeight="1" x14ac:dyDescent="0.25">
      <c r="A44" s="8" t="s">
        <v>10333</v>
      </c>
      <c r="B44" s="2" t="s">
        <v>10334</v>
      </c>
      <c r="C44" s="2"/>
      <c r="D44" s="2" t="s">
        <v>10283</v>
      </c>
      <c r="E44" s="2" t="s">
        <v>10335</v>
      </c>
      <c r="F44" s="2" t="s">
        <v>10336</v>
      </c>
      <c r="G44" s="2" t="s">
        <v>10337</v>
      </c>
      <c r="H44" s="2" t="s">
        <v>10313</v>
      </c>
      <c r="I44" s="8">
        <v>1</v>
      </c>
      <c r="J44" s="2" t="s">
        <v>10338</v>
      </c>
      <c r="K44" s="2"/>
      <c r="L44" s="2" t="s">
        <v>10292</v>
      </c>
      <c r="M44" s="2" t="s">
        <v>10283</v>
      </c>
      <c r="N44" s="2" t="s">
        <v>10339</v>
      </c>
      <c r="O44" s="2"/>
      <c r="P44" s="2"/>
    </row>
    <row r="45" spans="1:17" ht="13.2" customHeight="1" x14ac:dyDescent="0.25">
      <c r="A45" s="8" t="s">
        <v>10340</v>
      </c>
      <c r="B45" s="2" t="s">
        <v>10341</v>
      </c>
      <c r="C45" s="2"/>
      <c r="D45" s="2" t="s">
        <v>10283</v>
      </c>
      <c r="E45" s="2" t="s">
        <v>4740</v>
      </c>
      <c r="F45" s="2" t="s">
        <v>10342</v>
      </c>
      <c r="G45" s="2" t="s">
        <v>10343</v>
      </c>
      <c r="H45" s="2" t="s">
        <v>10296</v>
      </c>
      <c r="I45" s="8">
        <v>1</v>
      </c>
      <c r="J45" s="2" t="s">
        <v>10344</v>
      </c>
      <c r="K45" s="2"/>
      <c r="L45" s="2" t="s">
        <v>10292</v>
      </c>
      <c r="M45" s="2" t="s">
        <v>10283</v>
      </c>
      <c r="N45" s="2" t="s">
        <v>10345</v>
      </c>
      <c r="O45" s="2"/>
      <c r="P45" s="2"/>
    </row>
    <row r="46" spans="1:17" ht="13.2" customHeight="1" x14ac:dyDescent="0.25">
      <c r="A46" s="8" t="s">
        <v>10340</v>
      </c>
      <c r="B46" s="2" t="s">
        <v>10346</v>
      </c>
      <c r="C46" s="2"/>
      <c r="D46" s="2" t="s">
        <v>10347</v>
      </c>
      <c r="E46" s="2" t="s">
        <v>10348</v>
      </c>
      <c r="F46" s="2" t="s">
        <v>10349</v>
      </c>
      <c r="G46" s="2" t="s">
        <v>10350</v>
      </c>
      <c r="H46" s="2" t="s">
        <v>10351</v>
      </c>
      <c r="I46" s="8">
        <v>1</v>
      </c>
      <c r="J46" s="2" t="s">
        <v>10352</v>
      </c>
      <c r="K46" s="2"/>
      <c r="L46" s="2" t="s">
        <v>10058</v>
      </c>
      <c r="M46" s="2" t="s">
        <v>29</v>
      </c>
      <c r="N46" s="2" t="s">
        <v>10353</v>
      </c>
      <c r="O46" s="2"/>
      <c r="P46" s="2"/>
    </row>
    <row r="47" spans="1:17" ht="13.2" customHeight="1" x14ac:dyDescent="0.25">
      <c r="A47" s="8" t="s">
        <v>10354</v>
      </c>
      <c r="B47" s="2" t="s">
        <v>10355</v>
      </c>
      <c r="C47" s="2"/>
      <c r="D47" s="2" t="s">
        <v>10356</v>
      </c>
      <c r="E47" s="2" t="s">
        <v>10357</v>
      </c>
      <c r="F47" s="2" t="s">
        <v>10358</v>
      </c>
      <c r="G47" s="2" t="s">
        <v>10359</v>
      </c>
      <c r="H47" s="2" t="s">
        <v>10360</v>
      </c>
      <c r="I47" s="8">
        <v>1</v>
      </c>
      <c r="J47" s="2" t="s">
        <v>10361</v>
      </c>
      <c r="K47" s="2"/>
      <c r="L47" s="2" t="s">
        <v>10047</v>
      </c>
      <c r="M47" s="2" t="s">
        <v>29</v>
      </c>
      <c r="N47" s="2" t="s">
        <v>10362</v>
      </c>
      <c r="O47" s="2"/>
      <c r="P47" s="2"/>
    </row>
    <row r="48" spans="1:17" ht="13.2" customHeight="1" x14ac:dyDescent="0.25">
      <c r="A48" s="8" t="s">
        <v>10363</v>
      </c>
      <c r="B48" s="2" t="s">
        <v>10364</v>
      </c>
      <c r="C48" s="2"/>
      <c r="D48" s="2" t="s">
        <v>10058</v>
      </c>
      <c r="E48" s="2" t="s">
        <v>10365</v>
      </c>
      <c r="F48" s="2" t="s">
        <v>4318</v>
      </c>
      <c r="G48" s="2" t="s">
        <v>2194</v>
      </c>
      <c r="H48" s="2" t="s">
        <v>904</v>
      </c>
      <c r="I48" s="8">
        <v>1</v>
      </c>
      <c r="J48" s="2" t="s">
        <v>10366</v>
      </c>
      <c r="K48" s="2"/>
      <c r="L48" s="2" t="s">
        <v>10047</v>
      </c>
      <c r="M48" s="2" t="s">
        <v>29</v>
      </c>
      <c r="N48" s="2" t="s">
        <v>10367</v>
      </c>
      <c r="O48" s="2"/>
      <c r="P48" s="2"/>
    </row>
    <row r="49" spans="1:16" ht="13.2" customHeight="1" x14ac:dyDescent="0.25">
      <c r="A49" s="8" t="s">
        <v>10368</v>
      </c>
      <c r="B49" s="2" t="s">
        <v>10369</v>
      </c>
      <c r="C49" s="2"/>
      <c r="D49" s="2" t="s">
        <v>10082</v>
      </c>
      <c r="E49" s="2" t="s">
        <v>8748</v>
      </c>
      <c r="F49" s="2" t="s">
        <v>10140</v>
      </c>
      <c r="G49" s="2" t="s">
        <v>10370</v>
      </c>
      <c r="H49" s="2" t="s">
        <v>10139</v>
      </c>
      <c r="I49" s="8">
        <v>1</v>
      </c>
      <c r="J49" s="2" t="s">
        <v>10371</v>
      </c>
      <c r="K49" s="2"/>
      <c r="L49" s="2" t="s">
        <v>10047</v>
      </c>
      <c r="M49" s="2" t="s">
        <v>29</v>
      </c>
      <c r="N49" s="2" t="s">
        <v>10372</v>
      </c>
      <c r="O49" s="2"/>
      <c r="P49" s="2"/>
    </row>
    <row r="50" spans="1:16" ht="13.2" customHeight="1" x14ac:dyDescent="0.25">
      <c r="A50" s="8" t="s">
        <v>10373</v>
      </c>
      <c r="B50" s="2" t="s">
        <v>10374</v>
      </c>
      <c r="C50" s="2"/>
      <c r="D50" s="2" t="s">
        <v>10375</v>
      </c>
      <c r="E50" s="2" t="s">
        <v>10376</v>
      </c>
      <c r="F50" s="2" t="s">
        <v>10140</v>
      </c>
      <c r="G50" s="2" t="s">
        <v>10377</v>
      </c>
      <c r="H50" s="2" t="s">
        <v>9714</v>
      </c>
      <c r="I50" s="8">
        <v>1</v>
      </c>
      <c r="J50" s="2" t="s">
        <v>10378</v>
      </c>
      <c r="K50" s="2"/>
      <c r="L50" s="2" t="s">
        <v>10292</v>
      </c>
      <c r="M50" s="2" t="s">
        <v>29</v>
      </c>
      <c r="N50" s="2" t="s">
        <v>10379</v>
      </c>
      <c r="O50" s="2"/>
      <c r="P50" s="2"/>
    </row>
    <row r="51" spans="1:16" ht="13.2" customHeight="1" x14ac:dyDescent="0.25">
      <c r="A51" s="8" t="s">
        <v>10380</v>
      </c>
      <c r="B51" s="2" t="s">
        <v>10381</v>
      </c>
      <c r="C51" s="2"/>
      <c r="D51" s="2" t="s">
        <v>10382</v>
      </c>
      <c r="E51" s="2" t="s">
        <v>10383</v>
      </c>
      <c r="F51" s="2" t="s">
        <v>10384</v>
      </c>
      <c r="G51" s="2" t="s">
        <v>10385</v>
      </c>
      <c r="H51" s="2" t="s">
        <v>10386</v>
      </c>
      <c r="I51" s="8">
        <v>1</v>
      </c>
      <c r="J51" s="2" t="s">
        <v>10387</v>
      </c>
      <c r="K51" s="2"/>
      <c r="L51" s="2" t="s">
        <v>10058</v>
      </c>
      <c r="M51" s="2" t="s">
        <v>29</v>
      </c>
      <c r="N51" s="2" t="s">
        <v>10388</v>
      </c>
      <c r="O51" s="2"/>
      <c r="P51" s="2"/>
    </row>
    <row r="52" spans="1:16" ht="13.2" customHeight="1" x14ac:dyDescent="0.25">
      <c r="A52" s="8" t="s">
        <v>8862</v>
      </c>
      <c r="B52" s="2" t="s">
        <v>10389</v>
      </c>
      <c r="C52" s="2"/>
      <c r="D52" s="2" t="s">
        <v>10390</v>
      </c>
      <c r="E52" s="2" t="s">
        <v>10391</v>
      </c>
      <c r="F52" s="2" t="s">
        <v>10392</v>
      </c>
      <c r="G52" s="2" t="s">
        <v>10393</v>
      </c>
      <c r="H52" s="2" t="s">
        <v>10394</v>
      </c>
      <c r="I52" s="8">
        <v>1</v>
      </c>
      <c r="J52" s="2" t="s">
        <v>10395</v>
      </c>
      <c r="K52" s="2"/>
      <c r="L52" s="2" t="s">
        <v>10047</v>
      </c>
      <c r="M52" s="2" t="s">
        <v>29</v>
      </c>
      <c r="N52" s="2" t="s">
        <v>10396</v>
      </c>
      <c r="O52" s="2"/>
      <c r="P52" s="2"/>
    </row>
    <row r="53" spans="1:16" ht="13.2" customHeight="1" x14ac:dyDescent="0.25">
      <c r="A53" s="8" t="s">
        <v>10397</v>
      </c>
      <c r="B53" s="2" t="s">
        <v>10398</v>
      </c>
      <c r="C53" s="2"/>
      <c r="D53" s="2" t="s">
        <v>10399</v>
      </c>
      <c r="E53" s="2" t="s">
        <v>10400</v>
      </c>
      <c r="F53" s="2" t="s">
        <v>10401</v>
      </c>
      <c r="G53" s="2" t="s">
        <v>10402</v>
      </c>
      <c r="H53" s="2" t="s">
        <v>10403</v>
      </c>
      <c r="I53" s="8">
        <v>1</v>
      </c>
      <c r="J53" s="2" t="s">
        <v>10404</v>
      </c>
      <c r="K53" s="2"/>
      <c r="L53" s="2" t="s">
        <v>10058</v>
      </c>
      <c r="M53" s="2" t="s">
        <v>29</v>
      </c>
      <c r="N53" s="2" t="s">
        <v>2356</v>
      </c>
      <c r="O53" s="2"/>
      <c r="P53" s="2"/>
    </row>
    <row r="54" spans="1:16" ht="13.2" customHeight="1" x14ac:dyDescent="0.25">
      <c r="A54" s="8" t="s">
        <v>10405</v>
      </c>
      <c r="B54" s="2" t="s">
        <v>10406</v>
      </c>
      <c r="C54" s="2"/>
      <c r="D54" s="2" t="s">
        <v>2266</v>
      </c>
      <c r="E54" s="2" t="s">
        <v>10407</v>
      </c>
      <c r="F54" s="2" t="s">
        <v>10408</v>
      </c>
      <c r="G54" s="2" t="s">
        <v>10409</v>
      </c>
      <c r="H54" s="2" t="s">
        <v>2266</v>
      </c>
      <c r="I54" s="8">
        <v>1</v>
      </c>
      <c r="J54" s="2" t="s">
        <v>10410</v>
      </c>
      <c r="K54" s="2"/>
      <c r="L54" s="2" t="s">
        <v>10058</v>
      </c>
      <c r="M54" s="2" t="s">
        <v>29</v>
      </c>
      <c r="N54" s="2" t="s">
        <v>2361</v>
      </c>
      <c r="O54" s="2"/>
      <c r="P54" s="2"/>
    </row>
    <row r="55" spans="1:16" ht="13.2" customHeight="1" x14ac:dyDescent="0.25">
      <c r="A55" s="8" t="s">
        <v>10411</v>
      </c>
      <c r="B55" s="2" t="s">
        <v>10412</v>
      </c>
      <c r="C55" s="2"/>
      <c r="D55" s="2" t="s">
        <v>10413</v>
      </c>
      <c r="E55" s="2" t="s">
        <v>10414</v>
      </c>
      <c r="F55" s="2" t="s">
        <v>10415</v>
      </c>
      <c r="G55" s="2" t="s">
        <v>10416</v>
      </c>
      <c r="H55" s="2" t="s">
        <v>799</v>
      </c>
      <c r="I55" s="8">
        <v>1</v>
      </c>
      <c r="J55" s="2" t="s">
        <v>10417</v>
      </c>
      <c r="K55" s="2"/>
      <c r="L55" s="2" t="s">
        <v>10292</v>
      </c>
      <c r="M55" s="2" t="s">
        <v>29</v>
      </c>
      <c r="N55" s="2" t="s">
        <v>10418</v>
      </c>
      <c r="O55" s="2"/>
      <c r="P55" s="2"/>
    </row>
    <row r="56" spans="1:16" ht="13.2" customHeight="1" x14ac:dyDescent="0.25">
      <c r="A56" s="8" t="s">
        <v>10419</v>
      </c>
      <c r="B56" s="2" t="s">
        <v>10420</v>
      </c>
      <c r="C56" s="2"/>
      <c r="D56" s="2" t="s">
        <v>10097</v>
      </c>
      <c r="E56" s="2" t="s">
        <v>10421</v>
      </c>
      <c r="F56" s="2" t="s">
        <v>10422</v>
      </c>
      <c r="G56" s="2" t="s">
        <v>10423</v>
      </c>
      <c r="H56" s="2" t="s">
        <v>10424</v>
      </c>
      <c r="I56" s="8">
        <v>1</v>
      </c>
      <c r="J56" s="2" t="s">
        <v>10425</v>
      </c>
      <c r="K56" s="2"/>
      <c r="L56" s="2" t="s">
        <v>10047</v>
      </c>
      <c r="M56" s="2" t="s">
        <v>29</v>
      </c>
      <c r="N56" s="2" t="s">
        <v>10426</v>
      </c>
      <c r="O56" s="2"/>
      <c r="P56" s="2"/>
    </row>
    <row r="57" spans="1:16" ht="13.2" customHeight="1" x14ac:dyDescent="0.25">
      <c r="A57" s="8" t="s">
        <v>10427</v>
      </c>
      <c r="B57" s="2" t="s">
        <v>10428</v>
      </c>
      <c r="C57" s="2"/>
      <c r="D57" s="2" t="s">
        <v>10133</v>
      </c>
      <c r="E57" s="2" t="s">
        <v>9371</v>
      </c>
      <c r="F57" s="2" t="s">
        <v>10166</v>
      </c>
      <c r="G57" s="2" t="s">
        <v>10164</v>
      </c>
      <c r="H57" s="2" t="s">
        <v>3111</v>
      </c>
      <c r="I57" s="8">
        <v>1</v>
      </c>
      <c r="J57" s="2" t="s">
        <v>10429</v>
      </c>
      <c r="K57" s="2"/>
      <c r="L57" s="2" t="s">
        <v>10058</v>
      </c>
      <c r="M57" s="2" t="s">
        <v>29</v>
      </c>
      <c r="N57" s="2" t="s">
        <v>10430</v>
      </c>
      <c r="O57" s="2"/>
      <c r="P57" s="2"/>
    </row>
    <row r="58" spans="1:16" ht="13.2" customHeight="1" x14ac:dyDescent="0.25">
      <c r="A58" s="8" t="s">
        <v>10431</v>
      </c>
      <c r="B58" s="2" t="s">
        <v>10432</v>
      </c>
      <c r="C58" s="2"/>
      <c r="D58" s="2" t="s">
        <v>10433</v>
      </c>
      <c r="E58" s="2" t="s">
        <v>10296</v>
      </c>
      <c r="F58" s="2" t="s">
        <v>10297</v>
      </c>
      <c r="G58" s="2" t="s">
        <v>10298</v>
      </c>
      <c r="H58" s="2" t="s">
        <v>10299</v>
      </c>
      <c r="I58" s="8">
        <v>1</v>
      </c>
      <c r="J58" s="2" t="s">
        <v>10434</v>
      </c>
      <c r="K58" s="2"/>
      <c r="L58" s="2" t="s">
        <v>10047</v>
      </c>
      <c r="M58" s="2" t="s">
        <v>29</v>
      </c>
      <c r="N58" s="2" t="s">
        <v>10435</v>
      </c>
      <c r="O58" s="2"/>
      <c r="P58" s="2"/>
    </row>
    <row r="59" spans="1:16" ht="13.2" customHeight="1" x14ac:dyDescent="0.25">
      <c r="A59" s="8" t="s">
        <v>10436</v>
      </c>
      <c r="B59" s="2" t="s">
        <v>10437</v>
      </c>
      <c r="C59" s="2"/>
      <c r="D59" s="2" t="s">
        <v>10298</v>
      </c>
      <c r="E59" s="2" t="s">
        <v>10299</v>
      </c>
      <c r="F59" s="2" t="s">
        <v>10304</v>
      </c>
      <c r="G59" s="2" t="s">
        <v>10305</v>
      </c>
      <c r="H59" s="2" t="s">
        <v>10306</v>
      </c>
      <c r="I59" s="8">
        <v>1</v>
      </c>
      <c r="J59" s="2" t="s">
        <v>10438</v>
      </c>
      <c r="K59" s="2"/>
      <c r="L59" s="2" t="s">
        <v>10058</v>
      </c>
      <c r="M59" s="2" t="s">
        <v>29</v>
      </c>
      <c r="N59" s="2" t="s">
        <v>10439</v>
      </c>
      <c r="O59" s="2"/>
      <c r="P59" s="2"/>
    </row>
    <row r="60" spans="1:16" ht="13.2" customHeight="1" x14ac:dyDescent="0.25">
      <c r="A60" s="8" t="s">
        <v>10440</v>
      </c>
      <c r="B60" s="2" t="s">
        <v>10441</v>
      </c>
      <c r="C60" s="2"/>
      <c r="D60" s="2" t="s">
        <v>10166</v>
      </c>
      <c r="E60" s="2" t="s">
        <v>10264</v>
      </c>
      <c r="F60" s="2" t="s">
        <v>10167</v>
      </c>
      <c r="G60" s="2" t="s">
        <v>5489</v>
      </c>
      <c r="H60" s="2" t="s">
        <v>10442</v>
      </c>
      <c r="I60" s="8">
        <v>2</v>
      </c>
      <c r="J60" s="2" t="s">
        <v>10443</v>
      </c>
      <c r="K60" s="2"/>
      <c r="L60" s="2" t="s">
        <v>10058</v>
      </c>
      <c r="M60" s="2" t="s">
        <v>29</v>
      </c>
      <c r="N60" s="2" t="s">
        <v>10444</v>
      </c>
      <c r="O60" s="2"/>
      <c r="P60" s="2"/>
    </row>
    <row r="61" spans="1:16" ht="13.2" customHeight="1" x14ac:dyDescent="0.25">
      <c r="A61" s="8" t="s">
        <v>10445</v>
      </c>
      <c r="B61" s="2" t="s">
        <v>10446</v>
      </c>
      <c r="C61" s="2"/>
      <c r="D61" s="2" t="s">
        <v>3174</v>
      </c>
      <c r="E61" s="2" t="s">
        <v>9321</v>
      </c>
      <c r="F61" s="2" t="s">
        <v>10259</v>
      </c>
      <c r="G61" s="2" t="s">
        <v>10164</v>
      </c>
      <c r="H61" s="2" t="s">
        <v>10447</v>
      </c>
      <c r="I61" s="8">
        <v>1</v>
      </c>
      <c r="J61" s="2" t="s">
        <v>10448</v>
      </c>
      <c r="K61" s="2"/>
      <c r="L61" s="2" t="s">
        <v>10058</v>
      </c>
      <c r="M61" s="2" t="s">
        <v>29</v>
      </c>
      <c r="N61" s="2" t="s">
        <v>10449</v>
      </c>
      <c r="O61" s="2"/>
      <c r="P61" s="2"/>
    </row>
    <row r="62" spans="1:16" ht="13.2" customHeight="1" x14ac:dyDescent="0.25">
      <c r="A62" s="8" t="s">
        <v>10450</v>
      </c>
      <c r="B62" s="2" t="s">
        <v>10451</v>
      </c>
      <c r="C62" s="2"/>
      <c r="D62" s="2" t="s">
        <v>10433</v>
      </c>
      <c r="E62" s="2" t="s">
        <v>10296</v>
      </c>
      <c r="F62" s="2" t="s">
        <v>10297</v>
      </c>
      <c r="G62" s="2" t="s">
        <v>10298</v>
      </c>
      <c r="H62" s="2" t="s">
        <v>10299</v>
      </c>
      <c r="I62" s="8">
        <v>1</v>
      </c>
      <c r="J62" s="2" t="s">
        <v>10452</v>
      </c>
      <c r="K62" s="2"/>
      <c r="L62" s="2" t="s">
        <v>10058</v>
      </c>
      <c r="M62" s="2" t="s">
        <v>29</v>
      </c>
      <c r="N62" s="2" t="s">
        <v>10453</v>
      </c>
      <c r="O62" s="2"/>
      <c r="P62" s="2"/>
    </row>
    <row r="63" spans="1:16" ht="13.2" customHeight="1" x14ac:dyDescent="0.25">
      <c r="A63" s="8" t="s">
        <v>10454</v>
      </c>
      <c r="B63" s="2" t="s">
        <v>10455</v>
      </c>
      <c r="C63" s="2"/>
      <c r="D63" s="2" t="s">
        <v>10298</v>
      </c>
      <c r="E63" s="2" t="s">
        <v>10299</v>
      </c>
      <c r="F63" s="2" t="s">
        <v>10304</v>
      </c>
      <c r="G63" s="2" t="s">
        <v>10305</v>
      </c>
      <c r="H63" s="2" t="s">
        <v>10306</v>
      </c>
      <c r="I63" s="8">
        <v>1</v>
      </c>
      <c r="J63" s="2" t="s">
        <v>10438</v>
      </c>
      <c r="K63" s="2"/>
      <c r="L63" s="2" t="s">
        <v>10058</v>
      </c>
      <c r="M63" s="2" t="s">
        <v>29</v>
      </c>
      <c r="N63" s="2" t="s">
        <v>10456</v>
      </c>
      <c r="O63" s="2"/>
      <c r="P63" s="2"/>
    </row>
    <row r="64" spans="1:16" ht="13.2" customHeight="1" x14ac:dyDescent="0.25">
      <c r="A64" s="8" t="s">
        <v>10457</v>
      </c>
      <c r="B64" s="2" t="s">
        <v>10458</v>
      </c>
      <c r="C64" s="2"/>
      <c r="D64" s="2" t="s">
        <v>10305</v>
      </c>
      <c r="E64" s="2" t="s">
        <v>10306</v>
      </c>
      <c r="F64" s="2" t="s">
        <v>10311</v>
      </c>
      <c r="G64" s="2" t="s">
        <v>10312</v>
      </c>
      <c r="H64" s="2" t="s">
        <v>10313</v>
      </c>
      <c r="I64" s="8">
        <v>1</v>
      </c>
      <c r="J64" s="2" t="s">
        <v>10459</v>
      </c>
      <c r="K64" s="2"/>
      <c r="L64" s="2" t="s">
        <v>10058</v>
      </c>
      <c r="M64" s="2" t="s">
        <v>29</v>
      </c>
      <c r="N64" s="2" t="s">
        <v>10460</v>
      </c>
      <c r="O64" s="2"/>
      <c r="P64" s="2"/>
    </row>
    <row r="65" spans="1:16" ht="13.2" customHeight="1" x14ac:dyDescent="0.25">
      <c r="A65" s="8" t="s">
        <v>10461</v>
      </c>
      <c r="B65" s="2" t="s">
        <v>10462</v>
      </c>
      <c r="C65" s="2"/>
      <c r="D65" s="2" t="s">
        <v>10312</v>
      </c>
      <c r="E65" s="2" t="s">
        <v>10313</v>
      </c>
      <c r="F65" s="2" t="s">
        <v>10463</v>
      </c>
      <c r="G65" s="2" t="s">
        <v>10433</v>
      </c>
      <c r="H65" s="2" t="s">
        <v>10296</v>
      </c>
      <c r="I65" s="8">
        <v>1</v>
      </c>
      <c r="J65" s="2" t="s">
        <v>10464</v>
      </c>
      <c r="K65" s="2"/>
      <c r="L65" s="2" t="s">
        <v>10058</v>
      </c>
      <c r="M65" s="2" t="s">
        <v>29</v>
      </c>
      <c r="N65" s="2" t="s">
        <v>10025</v>
      </c>
      <c r="O65" s="2"/>
      <c r="P65" s="2"/>
    </row>
    <row r="66" spans="1:16" ht="13.2" customHeight="1" x14ac:dyDescent="0.25">
      <c r="A66" s="8" t="s">
        <v>10465</v>
      </c>
      <c r="B66" s="2" t="s">
        <v>10466</v>
      </c>
      <c r="C66" s="2"/>
      <c r="D66" s="2" t="s">
        <v>10433</v>
      </c>
      <c r="E66" s="2" t="s">
        <v>10296</v>
      </c>
      <c r="F66" s="2" t="s">
        <v>10297</v>
      </c>
      <c r="G66" s="2" t="s">
        <v>10298</v>
      </c>
      <c r="H66" s="2" t="s">
        <v>10299</v>
      </c>
      <c r="I66" s="8">
        <v>1</v>
      </c>
      <c r="J66" s="2" t="s">
        <v>10467</v>
      </c>
      <c r="K66" s="2"/>
      <c r="L66" s="2" t="s">
        <v>10058</v>
      </c>
      <c r="M66" s="2" t="s">
        <v>29</v>
      </c>
      <c r="N66" s="2" t="s">
        <v>10032</v>
      </c>
      <c r="O66" s="2"/>
      <c r="P66" s="2"/>
    </row>
    <row r="67" spans="1:16" ht="13.2" customHeight="1" x14ac:dyDescent="0.25">
      <c r="A67" s="8" t="s">
        <v>10468</v>
      </c>
      <c r="B67" s="2" t="s">
        <v>10469</v>
      </c>
      <c r="C67" s="2"/>
      <c r="D67" s="2" t="s">
        <v>10298</v>
      </c>
      <c r="E67" s="2" t="s">
        <v>10299</v>
      </c>
      <c r="F67" s="2" t="s">
        <v>10304</v>
      </c>
      <c r="G67" s="2" t="s">
        <v>10305</v>
      </c>
      <c r="H67" s="2" t="s">
        <v>10306</v>
      </c>
      <c r="I67" s="8">
        <v>1</v>
      </c>
      <c r="J67" s="2" t="s">
        <v>10438</v>
      </c>
      <c r="K67" s="2"/>
      <c r="L67" s="2" t="s">
        <v>10058</v>
      </c>
      <c r="M67" s="2" t="s">
        <v>29</v>
      </c>
      <c r="N67" s="2" t="s">
        <v>10449</v>
      </c>
      <c r="O67" s="2"/>
      <c r="P67" s="2"/>
    </row>
    <row r="68" spans="1:16" ht="13.2" customHeight="1" x14ac:dyDescent="0.25">
      <c r="A68" s="8" t="s">
        <v>10470</v>
      </c>
      <c r="B68" s="2" t="s">
        <v>10471</v>
      </c>
      <c r="C68" s="2"/>
      <c r="D68" s="2" t="s">
        <v>10472</v>
      </c>
      <c r="E68" s="2" t="s">
        <v>10473</v>
      </c>
      <c r="F68" s="2" t="s">
        <v>10474</v>
      </c>
      <c r="G68" s="2" t="s">
        <v>10475</v>
      </c>
      <c r="H68" s="2" t="s">
        <v>10476</v>
      </c>
      <c r="I68" s="8">
        <v>1</v>
      </c>
      <c r="J68" s="2" t="s">
        <v>10477</v>
      </c>
      <c r="K68" s="2"/>
      <c r="L68" s="2" t="s">
        <v>10047</v>
      </c>
      <c r="M68" s="2" t="s">
        <v>29</v>
      </c>
      <c r="N68" s="2" t="s">
        <v>1646</v>
      </c>
      <c r="O68" s="2"/>
      <c r="P68" s="2"/>
    </row>
    <row r="69" spans="1:16" ht="13.2" customHeight="1" x14ac:dyDescent="0.25">
      <c r="A69" s="8" t="s">
        <v>10478</v>
      </c>
      <c r="B69" s="2" t="s">
        <v>10479</v>
      </c>
      <c r="C69" s="2"/>
      <c r="D69" s="2" t="s">
        <v>10312</v>
      </c>
      <c r="E69" s="2" t="s">
        <v>10313</v>
      </c>
      <c r="F69" s="2" t="s">
        <v>10463</v>
      </c>
      <c r="G69" s="2" t="s">
        <v>10433</v>
      </c>
      <c r="H69" s="2" t="s">
        <v>10296</v>
      </c>
      <c r="I69" s="8">
        <v>1</v>
      </c>
      <c r="J69" s="2" t="s">
        <v>10480</v>
      </c>
      <c r="K69" s="2"/>
      <c r="L69" s="2" t="s">
        <v>10047</v>
      </c>
      <c r="M69" s="2" t="s">
        <v>29</v>
      </c>
      <c r="N69" s="2" t="s">
        <v>1646</v>
      </c>
      <c r="O69" s="2"/>
      <c r="P69" s="2"/>
    </row>
    <row r="70" spans="1:16" ht="13.2" customHeight="1" x14ac:dyDescent="0.25">
      <c r="A70" s="8" t="s">
        <v>10481</v>
      </c>
      <c r="B70" s="2" t="s">
        <v>10482</v>
      </c>
      <c r="C70" s="2"/>
      <c r="D70" s="2" t="s">
        <v>10433</v>
      </c>
      <c r="E70" s="2" t="s">
        <v>10296</v>
      </c>
      <c r="F70" s="2" t="s">
        <v>10297</v>
      </c>
      <c r="G70" s="2" t="s">
        <v>10298</v>
      </c>
      <c r="H70" s="2" t="s">
        <v>10299</v>
      </c>
      <c r="I70" s="8">
        <v>1</v>
      </c>
      <c r="J70" s="2" t="s">
        <v>10483</v>
      </c>
      <c r="K70" s="2"/>
      <c r="L70" s="2" t="s">
        <v>10047</v>
      </c>
      <c r="M70" s="2" t="s">
        <v>29</v>
      </c>
      <c r="N70" s="2" t="s">
        <v>2540</v>
      </c>
      <c r="O70" s="2"/>
      <c r="P70" s="2"/>
    </row>
    <row r="71" spans="1:16" ht="13.2" customHeight="1" x14ac:dyDescent="0.25">
      <c r="A71" s="8" t="s">
        <v>10484</v>
      </c>
      <c r="B71" s="2" t="s">
        <v>10485</v>
      </c>
      <c r="C71" s="2"/>
      <c r="D71" s="2" t="s">
        <v>10298</v>
      </c>
      <c r="E71" s="2" t="s">
        <v>10299</v>
      </c>
      <c r="F71" s="2" t="s">
        <v>10304</v>
      </c>
      <c r="G71" s="2" t="s">
        <v>10305</v>
      </c>
      <c r="H71" s="2" t="s">
        <v>10306</v>
      </c>
      <c r="I71" s="8">
        <v>1</v>
      </c>
      <c r="J71" s="2" t="s">
        <v>10486</v>
      </c>
      <c r="K71" s="2"/>
      <c r="L71" s="2" t="s">
        <v>10047</v>
      </c>
      <c r="M71" s="2" t="s">
        <v>29</v>
      </c>
      <c r="N71" s="2" t="s">
        <v>10487</v>
      </c>
      <c r="O71" s="2"/>
      <c r="P71" s="2"/>
    </row>
    <row r="72" spans="1:16" ht="13.2" customHeight="1" x14ac:dyDescent="0.25">
      <c r="A72" s="8" t="s">
        <v>10488</v>
      </c>
      <c r="B72" s="2" t="s">
        <v>10489</v>
      </c>
      <c r="C72" s="2"/>
      <c r="D72" s="2" t="s">
        <v>10305</v>
      </c>
      <c r="E72" s="2" t="s">
        <v>10306</v>
      </c>
      <c r="F72" s="2" t="s">
        <v>10311</v>
      </c>
      <c r="G72" s="2" t="s">
        <v>10312</v>
      </c>
      <c r="H72" s="2" t="s">
        <v>10313</v>
      </c>
      <c r="I72" s="8">
        <v>1</v>
      </c>
      <c r="J72" s="2" t="s">
        <v>10490</v>
      </c>
      <c r="K72" s="2"/>
      <c r="L72" s="2" t="s">
        <v>10292</v>
      </c>
      <c r="M72" s="2" t="s">
        <v>29</v>
      </c>
      <c r="N72" s="2" t="s">
        <v>6195</v>
      </c>
      <c r="O72" s="2"/>
      <c r="P72" s="2"/>
    </row>
    <row r="73" spans="1:16" ht="13.2" customHeight="1" x14ac:dyDescent="0.25">
      <c r="A73" s="8" t="s">
        <v>10491</v>
      </c>
      <c r="B73" s="2" t="s">
        <v>10492</v>
      </c>
      <c r="C73" s="2"/>
      <c r="D73" s="2" t="s">
        <v>10312</v>
      </c>
      <c r="E73" s="2" t="s">
        <v>10313</v>
      </c>
      <c r="F73" s="2" t="s">
        <v>10463</v>
      </c>
      <c r="G73" s="2" t="s">
        <v>10433</v>
      </c>
      <c r="H73" s="2" t="s">
        <v>10296</v>
      </c>
      <c r="I73" s="8">
        <v>1</v>
      </c>
      <c r="J73" s="2" t="s">
        <v>10493</v>
      </c>
      <c r="K73" s="2"/>
      <c r="L73" s="2" t="s">
        <v>10292</v>
      </c>
      <c r="M73" s="2" t="s">
        <v>29</v>
      </c>
      <c r="N73" s="2" t="s">
        <v>9135</v>
      </c>
      <c r="O73" s="2"/>
      <c r="P73" s="2"/>
    </row>
    <row r="74" spans="1:16" ht="13.2" customHeight="1" x14ac:dyDescent="0.25">
      <c r="A74" s="8" t="s">
        <v>10494</v>
      </c>
      <c r="B74" s="2" t="s">
        <v>10495</v>
      </c>
      <c r="C74" s="2"/>
      <c r="D74" s="2" t="s">
        <v>10433</v>
      </c>
      <c r="E74" s="2" t="s">
        <v>10296</v>
      </c>
      <c r="F74" s="2" t="s">
        <v>10297</v>
      </c>
      <c r="G74" s="2" t="s">
        <v>10298</v>
      </c>
      <c r="H74" s="2" t="s">
        <v>10299</v>
      </c>
      <c r="I74" s="8">
        <v>1</v>
      </c>
      <c r="J74" s="2" t="s">
        <v>10496</v>
      </c>
      <c r="K74" s="2"/>
      <c r="L74" s="2" t="s">
        <v>10047</v>
      </c>
      <c r="M74" s="2" t="s">
        <v>29</v>
      </c>
      <c r="N74" s="2" t="s">
        <v>3716</v>
      </c>
      <c r="O74" s="2"/>
      <c r="P74" s="2"/>
    </row>
    <row r="75" spans="1:16" ht="13.2" customHeight="1" x14ac:dyDescent="0.25">
      <c r="A75" s="8" t="s">
        <v>10497</v>
      </c>
      <c r="B75" s="2" t="s">
        <v>10498</v>
      </c>
      <c r="C75" s="2"/>
      <c r="D75" s="2" t="s">
        <v>10298</v>
      </c>
      <c r="E75" s="2" t="s">
        <v>10299</v>
      </c>
      <c r="F75" s="2" t="s">
        <v>10304</v>
      </c>
      <c r="G75" s="2" t="s">
        <v>10305</v>
      </c>
      <c r="H75" s="2" t="s">
        <v>10306</v>
      </c>
      <c r="I75" s="8">
        <v>1</v>
      </c>
      <c r="J75" s="2" t="s">
        <v>10499</v>
      </c>
      <c r="K75" s="2"/>
      <c r="L75" s="2" t="s">
        <v>10292</v>
      </c>
      <c r="M75" s="2" t="s">
        <v>29</v>
      </c>
      <c r="N75" s="2" t="s">
        <v>3724</v>
      </c>
      <c r="O75" s="2"/>
      <c r="P75" s="2"/>
    </row>
    <row r="76" spans="1:16" ht="13.2" customHeight="1" x14ac:dyDescent="0.25">
      <c r="A76" s="8" t="s">
        <v>10500</v>
      </c>
      <c r="B76" s="2" t="s">
        <v>10501</v>
      </c>
      <c r="C76" s="2"/>
      <c r="D76" s="2" t="s">
        <v>10305</v>
      </c>
      <c r="E76" s="2" t="s">
        <v>10306</v>
      </c>
      <c r="F76" s="2" t="s">
        <v>10311</v>
      </c>
      <c r="G76" s="2" t="s">
        <v>10312</v>
      </c>
      <c r="H76" s="2" t="s">
        <v>10313</v>
      </c>
      <c r="I76" s="8">
        <v>1</v>
      </c>
      <c r="J76" s="2" t="s">
        <v>10502</v>
      </c>
      <c r="K76" s="2"/>
      <c r="L76" s="2" t="s">
        <v>10292</v>
      </c>
      <c r="M76" s="2" t="s">
        <v>29</v>
      </c>
      <c r="N76" s="2" t="s">
        <v>10503</v>
      </c>
      <c r="O76" s="2"/>
      <c r="P76" s="2"/>
    </row>
    <row r="77" spans="1:16" ht="13.2" customHeight="1" x14ac:dyDescent="0.25">
      <c r="A77" s="8" t="s">
        <v>10504</v>
      </c>
      <c r="B77" s="2" t="s">
        <v>10505</v>
      </c>
      <c r="C77" s="2"/>
      <c r="D77" s="2" t="s">
        <v>10312</v>
      </c>
      <c r="E77" s="2" t="s">
        <v>10313</v>
      </c>
      <c r="F77" s="2" t="s">
        <v>10463</v>
      </c>
      <c r="G77" s="2" t="s">
        <v>10433</v>
      </c>
      <c r="H77" s="2" t="s">
        <v>10296</v>
      </c>
      <c r="I77" s="8">
        <v>1</v>
      </c>
      <c r="J77" s="2" t="s">
        <v>10506</v>
      </c>
      <c r="K77" s="2"/>
      <c r="L77" s="2" t="s">
        <v>10047</v>
      </c>
      <c r="M77" s="2" t="s">
        <v>29</v>
      </c>
      <c r="N77" s="2" t="s">
        <v>2537</v>
      </c>
      <c r="O77" s="2"/>
      <c r="P77" s="2"/>
    </row>
    <row r="78" spans="1:16" ht="13.2" customHeight="1" x14ac:dyDescent="0.25">
      <c r="A78" s="8" t="s">
        <v>10507</v>
      </c>
      <c r="B78" s="2" t="s">
        <v>10508</v>
      </c>
      <c r="C78" s="2"/>
      <c r="D78" s="2" t="s">
        <v>10433</v>
      </c>
      <c r="E78" s="2" t="s">
        <v>10296</v>
      </c>
      <c r="F78" s="2" t="s">
        <v>10297</v>
      </c>
      <c r="G78" s="2" t="s">
        <v>10298</v>
      </c>
      <c r="H78" s="2" t="s">
        <v>10299</v>
      </c>
      <c r="I78" s="8">
        <v>1</v>
      </c>
      <c r="J78" s="2" t="s">
        <v>10509</v>
      </c>
      <c r="K78" s="2"/>
      <c r="L78" s="2" t="s">
        <v>10058</v>
      </c>
      <c r="M78" s="2" t="s">
        <v>29</v>
      </c>
      <c r="N78" s="2" t="s">
        <v>2540</v>
      </c>
      <c r="O78" s="2"/>
      <c r="P78" s="2"/>
    </row>
    <row r="79" spans="1:16" ht="13.2" customHeight="1" x14ac:dyDescent="0.25">
      <c r="A79" s="8" t="s">
        <v>10510</v>
      </c>
      <c r="B79" s="2" t="s">
        <v>10511</v>
      </c>
      <c r="C79" s="2"/>
      <c r="D79" s="2" t="s">
        <v>10512</v>
      </c>
      <c r="E79" s="2" t="s">
        <v>10513</v>
      </c>
      <c r="F79" s="2" t="s">
        <v>10514</v>
      </c>
      <c r="G79" s="2" t="s">
        <v>10515</v>
      </c>
      <c r="H79" s="2" t="s">
        <v>10306</v>
      </c>
      <c r="I79" s="8">
        <v>1</v>
      </c>
      <c r="J79" s="2" t="s">
        <v>10516</v>
      </c>
      <c r="K79" s="2"/>
      <c r="L79" s="2" t="s">
        <v>10047</v>
      </c>
      <c r="M79" s="2" t="s">
        <v>29</v>
      </c>
      <c r="N79" s="2" t="s">
        <v>5030</v>
      </c>
      <c r="O79" s="2"/>
      <c r="P79" s="2"/>
    </row>
    <row r="80" spans="1:16" ht="13.2" customHeight="1" x14ac:dyDescent="0.25">
      <c r="A80" s="8" t="s">
        <v>10517</v>
      </c>
      <c r="B80" s="2" t="s">
        <v>10518</v>
      </c>
      <c r="C80" s="2"/>
      <c r="D80" s="2" t="s">
        <v>10305</v>
      </c>
      <c r="E80" s="2" t="s">
        <v>10306</v>
      </c>
      <c r="F80" s="2" t="s">
        <v>10311</v>
      </c>
      <c r="G80" s="2" t="s">
        <v>10312</v>
      </c>
      <c r="H80" s="2" t="s">
        <v>10313</v>
      </c>
      <c r="I80" s="8">
        <v>1</v>
      </c>
      <c r="J80" s="2" t="s">
        <v>10519</v>
      </c>
      <c r="K80" s="2"/>
      <c r="L80" s="2" t="s">
        <v>10047</v>
      </c>
      <c r="M80" s="2" t="s">
        <v>29</v>
      </c>
      <c r="N80" s="2" t="s">
        <v>2540</v>
      </c>
      <c r="O80" s="2"/>
      <c r="P80" s="2"/>
    </row>
    <row r="81" spans="1:16" ht="13.2" customHeight="1" x14ac:dyDescent="0.25">
      <c r="A81" s="8" t="s">
        <v>10520</v>
      </c>
      <c r="B81" s="2" t="s">
        <v>10521</v>
      </c>
      <c r="C81" s="2"/>
      <c r="D81" s="2" t="s">
        <v>10312</v>
      </c>
      <c r="E81" s="2" t="s">
        <v>10313</v>
      </c>
      <c r="F81" s="2" t="s">
        <v>10463</v>
      </c>
      <c r="G81" s="2" t="s">
        <v>10433</v>
      </c>
      <c r="H81" s="2" t="s">
        <v>10296</v>
      </c>
      <c r="I81" s="8">
        <v>1</v>
      </c>
      <c r="J81" s="2" t="s">
        <v>10522</v>
      </c>
      <c r="K81" s="2"/>
      <c r="L81" s="2" t="s">
        <v>10047</v>
      </c>
      <c r="M81" s="2" t="s">
        <v>29</v>
      </c>
      <c r="N81" s="2" t="s">
        <v>2540</v>
      </c>
      <c r="O81" s="2"/>
      <c r="P81" s="2"/>
    </row>
    <row r="82" spans="1:16" ht="13.2" customHeight="1" x14ac:dyDescent="0.25">
      <c r="A82" s="8" t="s">
        <v>10523</v>
      </c>
      <c r="B82" s="2" t="s">
        <v>10524</v>
      </c>
      <c r="C82" s="2"/>
      <c r="D82" s="2" t="s">
        <v>10433</v>
      </c>
      <c r="E82" s="2" t="s">
        <v>10296</v>
      </c>
      <c r="F82" s="2" t="s">
        <v>10297</v>
      </c>
      <c r="G82" s="2" t="s">
        <v>10298</v>
      </c>
      <c r="H82" s="2" t="s">
        <v>10299</v>
      </c>
      <c r="I82" s="8">
        <v>1</v>
      </c>
      <c r="J82" s="2" t="s">
        <v>10525</v>
      </c>
      <c r="K82" s="2"/>
      <c r="L82" s="2" t="s">
        <v>10047</v>
      </c>
      <c r="M82" s="2" t="s">
        <v>29</v>
      </c>
      <c r="N82" s="2" t="s">
        <v>3864</v>
      </c>
      <c r="O82" s="2"/>
      <c r="P82" s="2"/>
    </row>
    <row r="83" spans="1:16" ht="13.2" customHeight="1" x14ac:dyDescent="0.25">
      <c r="A83" s="8" t="s">
        <v>10526</v>
      </c>
      <c r="B83" s="2" t="s">
        <v>10527</v>
      </c>
      <c r="C83" s="2"/>
      <c r="D83" s="2" t="s">
        <v>9371</v>
      </c>
      <c r="E83" s="2" t="s">
        <v>10082</v>
      </c>
      <c r="F83" s="2" t="s">
        <v>5491</v>
      </c>
      <c r="G83" s="2" t="s">
        <v>10139</v>
      </c>
      <c r="H83" s="2" t="s">
        <v>10528</v>
      </c>
      <c r="I83" s="8">
        <v>1</v>
      </c>
      <c r="J83" s="2" t="s">
        <v>10529</v>
      </c>
      <c r="K83" s="2"/>
      <c r="L83" s="2" t="s">
        <v>10047</v>
      </c>
      <c r="M83" s="2" t="s">
        <v>29</v>
      </c>
      <c r="N83" s="2" t="s">
        <v>10530</v>
      </c>
      <c r="O83" s="2"/>
      <c r="P83" s="2"/>
    </row>
    <row r="84" spans="1:16" ht="13.2" customHeight="1" x14ac:dyDescent="0.25">
      <c r="A84" s="8" t="s">
        <v>10531</v>
      </c>
      <c r="B84" s="2" t="s">
        <v>10532</v>
      </c>
      <c r="C84" s="2"/>
      <c r="D84" s="2" t="s">
        <v>10305</v>
      </c>
      <c r="E84" s="2" t="s">
        <v>10306</v>
      </c>
      <c r="F84" s="2" t="s">
        <v>10311</v>
      </c>
      <c r="G84" s="2" t="s">
        <v>10312</v>
      </c>
      <c r="H84" s="2" t="s">
        <v>10313</v>
      </c>
      <c r="I84" s="8">
        <v>1</v>
      </c>
      <c r="J84" s="2" t="s">
        <v>10533</v>
      </c>
      <c r="K84" s="2"/>
      <c r="L84" s="2" t="s">
        <v>10058</v>
      </c>
      <c r="M84" s="2" t="s">
        <v>29</v>
      </c>
      <c r="N84" s="2" t="s">
        <v>1646</v>
      </c>
      <c r="O84" s="2"/>
      <c r="P84" s="2"/>
    </row>
    <row r="85" spans="1:16" ht="13.2" customHeight="1" x14ac:dyDescent="0.25">
      <c r="A85" s="8" t="s">
        <v>10534</v>
      </c>
      <c r="B85" s="2" t="s">
        <v>10535</v>
      </c>
      <c r="C85" s="2"/>
      <c r="D85" s="2" t="s">
        <v>10312</v>
      </c>
      <c r="E85" s="2" t="s">
        <v>10313</v>
      </c>
      <c r="F85" s="2" t="s">
        <v>10463</v>
      </c>
      <c r="G85" s="2" t="s">
        <v>10433</v>
      </c>
      <c r="H85" s="2" t="s">
        <v>10296</v>
      </c>
      <c r="I85" s="8">
        <v>1</v>
      </c>
      <c r="J85" s="2" t="s">
        <v>10536</v>
      </c>
      <c r="K85" s="2"/>
      <c r="L85" s="2" t="s">
        <v>10047</v>
      </c>
      <c r="M85" s="2" t="s">
        <v>29</v>
      </c>
      <c r="N85" s="2" t="s">
        <v>3733</v>
      </c>
      <c r="O85" s="2"/>
      <c r="P85" s="2"/>
    </row>
    <row r="86" spans="1:16" ht="13.2" customHeight="1" x14ac:dyDescent="0.25">
      <c r="A86" s="8" t="s">
        <v>10537</v>
      </c>
      <c r="B86" s="2" t="s">
        <v>10538</v>
      </c>
      <c r="C86" s="2"/>
      <c r="D86" s="2" t="s">
        <v>10433</v>
      </c>
      <c r="E86" s="2" t="s">
        <v>10296</v>
      </c>
      <c r="F86" s="2" t="s">
        <v>10297</v>
      </c>
      <c r="G86" s="2" t="s">
        <v>10298</v>
      </c>
      <c r="H86" s="2" t="s">
        <v>10299</v>
      </c>
      <c r="I86" s="8">
        <v>1</v>
      </c>
      <c r="J86" s="2" t="s">
        <v>10539</v>
      </c>
      <c r="K86" s="2"/>
      <c r="L86" s="2" t="s">
        <v>10292</v>
      </c>
      <c r="M86" s="2" t="s">
        <v>29</v>
      </c>
      <c r="N86" s="2" t="s">
        <v>3754</v>
      </c>
      <c r="O86" s="2"/>
      <c r="P86" s="2"/>
    </row>
    <row r="87" spans="1:16" ht="13.2" customHeight="1" x14ac:dyDescent="0.25">
      <c r="A87" s="8" t="s">
        <v>10540</v>
      </c>
      <c r="B87" s="2" t="s">
        <v>10541</v>
      </c>
      <c r="C87" s="2"/>
      <c r="D87" s="2" t="s">
        <v>9371</v>
      </c>
      <c r="E87" s="2" t="s">
        <v>10082</v>
      </c>
      <c r="F87" s="2" t="s">
        <v>10542</v>
      </c>
      <c r="G87" s="2" t="s">
        <v>8748</v>
      </c>
      <c r="H87" s="2" t="s">
        <v>10370</v>
      </c>
      <c r="I87" s="8">
        <v>1</v>
      </c>
      <c r="J87" s="2" t="s">
        <v>10543</v>
      </c>
      <c r="K87" s="2"/>
      <c r="L87" s="2" t="s">
        <v>10047</v>
      </c>
      <c r="M87" s="2" t="s">
        <v>29</v>
      </c>
      <c r="N87" s="2" t="s">
        <v>2537</v>
      </c>
      <c r="O87" s="2"/>
      <c r="P87" s="2"/>
    </row>
    <row r="88" spans="1:16" ht="13.2" customHeight="1" x14ac:dyDescent="0.25">
      <c r="A88" s="8" t="s">
        <v>10544</v>
      </c>
      <c r="B88" s="2" t="s">
        <v>10545</v>
      </c>
      <c r="C88" s="2"/>
      <c r="D88" s="2" t="s">
        <v>10546</v>
      </c>
      <c r="E88" s="2" t="s">
        <v>10547</v>
      </c>
      <c r="F88" s="2" t="s">
        <v>10548</v>
      </c>
      <c r="G88" s="2" t="s">
        <v>10549</v>
      </c>
      <c r="H88" s="2" t="s">
        <v>10550</v>
      </c>
      <c r="I88" s="8">
        <v>1</v>
      </c>
      <c r="J88" s="2" t="s">
        <v>10551</v>
      </c>
      <c r="K88" s="2"/>
      <c r="L88" s="2" t="s">
        <v>10058</v>
      </c>
      <c r="M88" s="2" t="s">
        <v>29</v>
      </c>
      <c r="N88" s="2" t="s">
        <v>3803</v>
      </c>
      <c r="O88" s="2"/>
      <c r="P88" s="2"/>
    </row>
    <row r="89" spans="1:16" ht="13.2" customHeight="1" x14ac:dyDescent="0.25">
      <c r="A89" s="8" t="s">
        <v>10552</v>
      </c>
      <c r="B89" s="2" t="s">
        <v>10553</v>
      </c>
      <c r="C89" s="2"/>
      <c r="D89" s="2" t="s">
        <v>10312</v>
      </c>
      <c r="E89" s="2" t="s">
        <v>10313</v>
      </c>
      <c r="F89" s="2" t="s">
        <v>10463</v>
      </c>
      <c r="G89" s="2" t="s">
        <v>10433</v>
      </c>
      <c r="H89" s="2" t="s">
        <v>10296</v>
      </c>
      <c r="I89" s="8">
        <v>1</v>
      </c>
      <c r="J89" s="2" t="s">
        <v>10554</v>
      </c>
      <c r="K89" s="2"/>
      <c r="L89" s="2" t="s">
        <v>10047</v>
      </c>
      <c r="M89" s="2" t="s">
        <v>29</v>
      </c>
      <c r="N89" s="2" t="s">
        <v>4167</v>
      </c>
      <c r="O89" s="2"/>
      <c r="P89" s="2"/>
    </row>
    <row r="90" spans="1:16" ht="13.2" customHeight="1" x14ac:dyDescent="0.25">
      <c r="A90" s="8" t="s">
        <v>10555</v>
      </c>
      <c r="B90" s="2" t="s">
        <v>10556</v>
      </c>
      <c r="C90" s="2"/>
      <c r="D90" s="2" t="s">
        <v>10433</v>
      </c>
      <c r="E90" s="2" t="s">
        <v>10296</v>
      </c>
      <c r="F90" s="2" t="s">
        <v>10297</v>
      </c>
      <c r="G90" s="2" t="s">
        <v>10298</v>
      </c>
      <c r="H90" s="2" t="s">
        <v>10299</v>
      </c>
      <c r="I90" s="8">
        <v>1</v>
      </c>
      <c r="J90" s="2" t="s">
        <v>10557</v>
      </c>
      <c r="K90" s="2"/>
      <c r="L90" s="2" t="s">
        <v>10047</v>
      </c>
      <c r="M90" s="2" t="s">
        <v>29</v>
      </c>
      <c r="N90" s="2" t="s">
        <v>3936</v>
      </c>
      <c r="O90" s="2"/>
      <c r="P90" s="2"/>
    </row>
    <row r="91" spans="1:16" ht="13.2" customHeight="1" x14ac:dyDescent="0.25">
      <c r="A91" s="8" t="s">
        <v>10558</v>
      </c>
      <c r="B91" s="2" t="s">
        <v>10559</v>
      </c>
      <c r="C91" s="2"/>
      <c r="D91" s="2" t="s">
        <v>10560</v>
      </c>
      <c r="E91" s="2" t="s">
        <v>10561</v>
      </c>
      <c r="F91" s="2" t="s">
        <v>10562</v>
      </c>
      <c r="G91" s="2" t="s">
        <v>10563</v>
      </c>
      <c r="H91" s="2" t="s">
        <v>10564</v>
      </c>
      <c r="I91" s="8">
        <v>1</v>
      </c>
      <c r="J91" s="2" t="s">
        <v>10565</v>
      </c>
      <c r="K91" s="2"/>
      <c r="L91" s="2" t="s">
        <v>10047</v>
      </c>
      <c r="M91" s="2" t="s">
        <v>29</v>
      </c>
      <c r="N91" s="2" t="s">
        <v>2665</v>
      </c>
      <c r="O91" s="2"/>
      <c r="P91" s="2"/>
    </row>
    <row r="92" spans="1:16" ht="13.2" customHeight="1" x14ac:dyDescent="0.25">
      <c r="A92" s="8" t="s">
        <v>10566</v>
      </c>
      <c r="B92" s="2" t="s">
        <v>10567</v>
      </c>
      <c r="C92" s="2"/>
      <c r="D92" s="2" t="s">
        <v>10305</v>
      </c>
      <c r="E92" s="2" t="s">
        <v>10306</v>
      </c>
      <c r="F92" s="2" t="s">
        <v>10311</v>
      </c>
      <c r="G92" s="2" t="s">
        <v>10312</v>
      </c>
      <c r="H92" s="2" t="s">
        <v>10313</v>
      </c>
      <c r="I92" s="8">
        <v>1</v>
      </c>
      <c r="J92" s="2" t="s">
        <v>10568</v>
      </c>
      <c r="K92" s="2"/>
      <c r="L92" s="2" t="s">
        <v>10058</v>
      </c>
      <c r="M92" s="2" t="s">
        <v>29</v>
      </c>
      <c r="N92" s="2" t="s">
        <v>3900</v>
      </c>
      <c r="O92" s="2"/>
      <c r="P92" s="2"/>
    </row>
    <row r="93" spans="1:16" ht="13.2" customHeight="1" x14ac:dyDescent="0.25">
      <c r="A93" s="8" t="s">
        <v>10569</v>
      </c>
      <c r="B93" s="2" t="s">
        <v>10570</v>
      </c>
      <c r="C93" s="2"/>
      <c r="D93" s="2" t="s">
        <v>10312</v>
      </c>
      <c r="E93" s="2" t="s">
        <v>10313</v>
      </c>
      <c r="F93" s="2" t="s">
        <v>10463</v>
      </c>
      <c r="G93" s="2" t="s">
        <v>10433</v>
      </c>
      <c r="H93" s="2" t="s">
        <v>10296</v>
      </c>
      <c r="I93" s="8">
        <v>1</v>
      </c>
      <c r="J93" s="2" t="s">
        <v>10571</v>
      </c>
      <c r="K93" s="2"/>
      <c r="L93" s="2" t="s">
        <v>10058</v>
      </c>
      <c r="M93" s="2" t="s">
        <v>29</v>
      </c>
      <c r="N93" s="2" t="s">
        <v>3951</v>
      </c>
      <c r="O93" s="2"/>
      <c r="P93" s="2"/>
    </row>
    <row r="94" spans="1:16" ht="13.2" customHeight="1" x14ac:dyDescent="0.25">
      <c r="A94" s="8" t="s">
        <v>10572</v>
      </c>
      <c r="B94" s="2" t="s">
        <v>10573</v>
      </c>
      <c r="C94" s="2"/>
      <c r="D94" s="2" t="s">
        <v>10433</v>
      </c>
      <c r="E94" s="2" t="s">
        <v>10296</v>
      </c>
      <c r="F94" s="2" t="s">
        <v>10297</v>
      </c>
      <c r="G94" s="2" t="s">
        <v>10298</v>
      </c>
      <c r="H94" s="2" t="s">
        <v>10299</v>
      </c>
      <c r="I94" s="8">
        <v>1</v>
      </c>
      <c r="J94" s="2" t="s">
        <v>10574</v>
      </c>
      <c r="K94" s="2"/>
      <c r="L94" s="2" t="s">
        <v>10047</v>
      </c>
      <c r="M94" s="2" t="s">
        <v>29</v>
      </c>
      <c r="N94" s="2" t="s">
        <v>1669</v>
      </c>
      <c r="O94" s="2"/>
      <c r="P94" s="2"/>
    </row>
    <row r="95" spans="1:16" ht="13.2" customHeight="1" x14ac:dyDescent="0.25">
      <c r="A95" s="8" t="s">
        <v>10575</v>
      </c>
      <c r="B95" s="2" t="s">
        <v>10576</v>
      </c>
      <c r="C95" s="2"/>
      <c r="D95" s="2" t="s">
        <v>10577</v>
      </c>
      <c r="E95" s="2" t="s">
        <v>10578</v>
      </c>
      <c r="F95" s="2" t="s">
        <v>10579</v>
      </c>
      <c r="G95" s="2" t="s">
        <v>10580</v>
      </c>
      <c r="H95" s="2" t="s">
        <v>10581</v>
      </c>
      <c r="I95" s="8">
        <v>1</v>
      </c>
      <c r="J95" s="2" t="s">
        <v>10582</v>
      </c>
      <c r="K95" s="2"/>
      <c r="L95" s="2" t="s">
        <v>10058</v>
      </c>
      <c r="M95" s="2" t="s">
        <v>29</v>
      </c>
      <c r="N95" s="2" t="s">
        <v>4030</v>
      </c>
      <c r="O95" s="2"/>
      <c r="P95" s="2"/>
    </row>
    <row r="96" spans="1:16" ht="13.2" customHeight="1" x14ac:dyDescent="0.25">
      <c r="A96" s="8" t="s">
        <v>10583</v>
      </c>
      <c r="B96" s="2" t="s">
        <v>10584</v>
      </c>
      <c r="C96" s="2"/>
      <c r="D96" s="2" t="s">
        <v>10305</v>
      </c>
      <c r="E96" s="2" t="s">
        <v>10306</v>
      </c>
      <c r="F96" s="2" t="s">
        <v>10311</v>
      </c>
      <c r="G96" s="2" t="s">
        <v>10312</v>
      </c>
      <c r="H96" s="2" t="s">
        <v>10313</v>
      </c>
      <c r="I96" s="8">
        <v>1</v>
      </c>
      <c r="J96" s="2" t="s">
        <v>10585</v>
      </c>
      <c r="K96" s="2"/>
      <c r="L96" s="2" t="s">
        <v>10047</v>
      </c>
      <c r="M96" s="2" t="s">
        <v>29</v>
      </c>
      <c r="N96" s="2" t="s">
        <v>1669</v>
      </c>
      <c r="O96" s="2"/>
      <c r="P96" s="2"/>
    </row>
    <row r="97" spans="1:16" ht="13.2" customHeight="1" x14ac:dyDescent="0.25">
      <c r="A97" s="8" t="s">
        <v>10586</v>
      </c>
      <c r="B97" s="2" t="s">
        <v>10587</v>
      </c>
      <c r="C97" s="2"/>
      <c r="D97" s="2" t="s">
        <v>10312</v>
      </c>
      <c r="E97" s="2" t="s">
        <v>10313</v>
      </c>
      <c r="F97" s="2" t="s">
        <v>10463</v>
      </c>
      <c r="G97" s="2" t="s">
        <v>10433</v>
      </c>
      <c r="H97" s="2" t="s">
        <v>10296</v>
      </c>
      <c r="I97" s="8">
        <v>1</v>
      </c>
      <c r="J97" s="2" t="s">
        <v>10588</v>
      </c>
      <c r="K97" s="2"/>
      <c r="L97" s="2" t="s">
        <v>10047</v>
      </c>
      <c r="M97" s="2" t="s">
        <v>29</v>
      </c>
      <c r="N97" s="2" t="s">
        <v>10589</v>
      </c>
      <c r="O97" s="2"/>
      <c r="P97" s="2"/>
    </row>
    <row r="98" spans="1:16" ht="13.2" customHeight="1" x14ac:dyDescent="0.25">
      <c r="A98" s="8" t="s">
        <v>10590</v>
      </c>
      <c r="B98" s="2" t="s">
        <v>10591</v>
      </c>
      <c r="C98" s="2"/>
      <c r="D98" s="2" t="s">
        <v>10433</v>
      </c>
      <c r="E98" s="2" t="s">
        <v>10296</v>
      </c>
      <c r="F98" s="2" t="s">
        <v>10297</v>
      </c>
      <c r="G98" s="2" t="s">
        <v>10298</v>
      </c>
      <c r="H98" s="2" t="s">
        <v>10299</v>
      </c>
      <c r="I98" s="8">
        <v>1</v>
      </c>
      <c r="J98" s="2" t="s">
        <v>10592</v>
      </c>
      <c r="K98" s="2"/>
      <c r="L98" s="2" t="s">
        <v>10047</v>
      </c>
      <c r="M98" s="2" t="s">
        <v>29</v>
      </c>
      <c r="N98" s="2" t="s">
        <v>1669</v>
      </c>
      <c r="O98" s="2"/>
      <c r="P98" s="2"/>
    </row>
    <row r="99" spans="1:16" ht="13.2" customHeight="1" x14ac:dyDescent="0.25">
      <c r="A99" s="8" t="s">
        <v>10593</v>
      </c>
      <c r="B99" s="2" t="s">
        <v>10594</v>
      </c>
      <c r="C99" s="2"/>
      <c r="D99" s="2" t="s">
        <v>10595</v>
      </c>
      <c r="E99" s="2" t="s">
        <v>10596</v>
      </c>
      <c r="F99" s="2" t="s">
        <v>10597</v>
      </c>
      <c r="G99" s="2" t="s">
        <v>10598</v>
      </c>
      <c r="H99" s="2" t="s">
        <v>9727</v>
      </c>
      <c r="I99" s="8">
        <v>1</v>
      </c>
      <c r="J99" s="2" t="s">
        <v>10599</v>
      </c>
      <c r="K99" s="2"/>
      <c r="L99" s="2" t="s">
        <v>10058</v>
      </c>
      <c r="M99" s="2" t="s">
        <v>29</v>
      </c>
      <c r="N99" s="2" t="s">
        <v>10600</v>
      </c>
      <c r="O99" s="2"/>
      <c r="P99" s="2"/>
    </row>
    <row r="100" spans="1:16" ht="13.2" customHeight="1" x14ac:dyDescent="0.25">
      <c r="A100" s="8" t="s">
        <v>10601</v>
      </c>
      <c r="B100" s="2" t="s">
        <v>10602</v>
      </c>
      <c r="C100" s="2"/>
      <c r="D100" s="2" t="s">
        <v>10305</v>
      </c>
      <c r="E100" s="2" t="s">
        <v>10306</v>
      </c>
      <c r="F100" s="2" t="s">
        <v>10311</v>
      </c>
      <c r="G100" s="2" t="s">
        <v>10312</v>
      </c>
      <c r="H100" s="2" t="s">
        <v>10313</v>
      </c>
      <c r="I100" s="8">
        <v>1</v>
      </c>
      <c r="J100" s="2" t="s">
        <v>10603</v>
      </c>
      <c r="K100" s="2"/>
      <c r="L100" s="2" t="s">
        <v>10292</v>
      </c>
      <c r="M100" s="2" t="s">
        <v>29</v>
      </c>
      <c r="N100" s="2" t="s">
        <v>1669</v>
      </c>
      <c r="O100" s="2"/>
      <c r="P100" s="2"/>
    </row>
    <row r="101" spans="1:16" ht="13.2" customHeight="1" x14ac:dyDescent="0.25">
      <c r="A101" s="8" t="s">
        <v>10604</v>
      </c>
      <c r="B101" s="2" t="s">
        <v>10605</v>
      </c>
      <c r="C101" s="2"/>
      <c r="D101" s="2" t="s">
        <v>10312</v>
      </c>
      <c r="E101" s="2" t="s">
        <v>10313</v>
      </c>
      <c r="F101" s="2" t="s">
        <v>10463</v>
      </c>
      <c r="G101" s="2" t="s">
        <v>10433</v>
      </c>
      <c r="H101" s="2" t="s">
        <v>10296</v>
      </c>
      <c r="I101" s="8">
        <v>1</v>
      </c>
      <c r="J101" s="2" t="s">
        <v>10606</v>
      </c>
      <c r="K101" s="2"/>
      <c r="L101" s="2" t="s">
        <v>10292</v>
      </c>
      <c r="M101" s="2" t="s">
        <v>29</v>
      </c>
      <c r="N101" s="2" t="s">
        <v>3936</v>
      </c>
      <c r="O101" s="2"/>
      <c r="P101" s="2"/>
    </row>
    <row r="102" spans="1:16" ht="13.2" customHeight="1" x14ac:dyDescent="0.25">
      <c r="A102" s="8" t="s">
        <v>8863</v>
      </c>
      <c r="B102" s="2" t="s">
        <v>10607</v>
      </c>
      <c r="C102" s="2"/>
      <c r="D102" s="2" t="s">
        <v>10433</v>
      </c>
      <c r="E102" s="2" t="s">
        <v>10296</v>
      </c>
      <c r="F102" s="2" t="s">
        <v>10297</v>
      </c>
      <c r="G102" s="2" t="s">
        <v>10298</v>
      </c>
      <c r="H102" s="2" t="s">
        <v>10299</v>
      </c>
      <c r="I102" s="8">
        <v>1</v>
      </c>
      <c r="J102" s="2" t="s">
        <v>10608</v>
      </c>
      <c r="K102" s="2"/>
      <c r="L102" s="2" t="s">
        <v>10292</v>
      </c>
      <c r="M102" s="2" t="s">
        <v>29</v>
      </c>
      <c r="N102" s="2" t="s">
        <v>3900</v>
      </c>
      <c r="O102" s="2"/>
      <c r="P102" s="2"/>
    </row>
    <row r="103" spans="1:16" ht="13.2" customHeight="1" x14ac:dyDescent="0.25">
      <c r="A103" s="8" t="s">
        <v>10609</v>
      </c>
      <c r="B103" s="2" t="s">
        <v>10610</v>
      </c>
      <c r="C103" s="2"/>
      <c r="D103" s="2" t="s">
        <v>10611</v>
      </c>
      <c r="E103" s="2" t="s">
        <v>10612</v>
      </c>
      <c r="F103" s="2" t="s">
        <v>10613</v>
      </c>
      <c r="G103" s="2" t="s">
        <v>10614</v>
      </c>
      <c r="H103" s="2" t="s">
        <v>10615</v>
      </c>
      <c r="I103" s="8">
        <v>1</v>
      </c>
      <c r="J103" s="2" t="s">
        <v>10616</v>
      </c>
      <c r="K103" s="2"/>
      <c r="L103" s="2" t="s">
        <v>10047</v>
      </c>
      <c r="M103" s="2" t="s">
        <v>29</v>
      </c>
      <c r="N103" s="2" t="s">
        <v>10617</v>
      </c>
      <c r="O103" s="2"/>
      <c r="P103" s="2"/>
    </row>
    <row r="104" spans="1:16" ht="13.2" customHeight="1" x14ac:dyDescent="0.25">
      <c r="A104" s="8" t="s">
        <v>10618</v>
      </c>
      <c r="B104" s="2" t="s">
        <v>10619</v>
      </c>
      <c r="C104" s="2"/>
      <c r="D104" s="2" t="s">
        <v>10305</v>
      </c>
      <c r="E104" s="2" t="s">
        <v>10306</v>
      </c>
      <c r="F104" s="2" t="s">
        <v>10311</v>
      </c>
      <c r="G104" s="2" t="s">
        <v>10312</v>
      </c>
      <c r="H104" s="2" t="s">
        <v>10313</v>
      </c>
      <c r="I104" s="8">
        <v>1</v>
      </c>
      <c r="J104" s="2" t="s">
        <v>10620</v>
      </c>
      <c r="K104" s="2"/>
      <c r="L104" s="2" t="s">
        <v>10292</v>
      </c>
      <c r="M104" s="2" t="s">
        <v>29</v>
      </c>
      <c r="N104" s="2" t="s">
        <v>10621</v>
      </c>
      <c r="O104" s="2"/>
      <c r="P104" s="2"/>
    </row>
    <row r="105" spans="1:16" ht="13.2" customHeight="1" x14ac:dyDescent="0.25">
      <c r="A105" s="8" t="s">
        <v>10622</v>
      </c>
      <c r="B105" s="2" t="s">
        <v>10623</v>
      </c>
      <c r="C105" s="2"/>
      <c r="D105" s="2" t="s">
        <v>10312</v>
      </c>
      <c r="E105" s="2" t="s">
        <v>10313</v>
      </c>
      <c r="F105" s="2" t="s">
        <v>10463</v>
      </c>
      <c r="G105" s="2" t="s">
        <v>10433</v>
      </c>
      <c r="H105" s="2" t="s">
        <v>10296</v>
      </c>
      <c r="I105" s="8">
        <v>1</v>
      </c>
      <c r="J105" s="2" t="s">
        <v>10624</v>
      </c>
      <c r="K105" s="2"/>
      <c r="L105" s="2" t="s">
        <v>10047</v>
      </c>
      <c r="M105" s="2" t="s">
        <v>29</v>
      </c>
      <c r="N105" s="2" t="s">
        <v>3936</v>
      </c>
      <c r="O105" s="2"/>
      <c r="P105" s="2"/>
    </row>
    <row r="106" spans="1:16" ht="13.2" customHeight="1" x14ac:dyDescent="0.25">
      <c r="A106" s="8" t="s">
        <v>10625</v>
      </c>
      <c r="B106" s="2" t="s">
        <v>10626</v>
      </c>
      <c r="C106" s="2"/>
      <c r="D106" s="2" t="s">
        <v>9295</v>
      </c>
      <c r="E106" s="2" t="s">
        <v>10627</v>
      </c>
      <c r="F106" s="2" t="s">
        <v>10628</v>
      </c>
      <c r="G106" s="2" t="s">
        <v>7590</v>
      </c>
      <c r="H106" s="2" t="s">
        <v>2504</v>
      </c>
      <c r="I106" s="8">
        <v>2</v>
      </c>
      <c r="J106" s="2" t="s">
        <v>10629</v>
      </c>
      <c r="K106" s="2"/>
      <c r="L106" s="2" t="s">
        <v>10047</v>
      </c>
      <c r="M106" s="2" t="s">
        <v>29</v>
      </c>
      <c r="N106" s="2" t="s">
        <v>10630</v>
      </c>
      <c r="O106" s="2"/>
      <c r="P106" s="2"/>
    </row>
    <row r="107" spans="1:16" ht="13.2" customHeight="1" x14ac:dyDescent="0.25">
      <c r="A107" s="8" t="s">
        <v>10631</v>
      </c>
      <c r="B107" s="2" t="s">
        <v>10632</v>
      </c>
      <c r="C107" s="2"/>
      <c r="D107" s="2" t="s">
        <v>10633</v>
      </c>
      <c r="E107" s="2" t="s">
        <v>10634</v>
      </c>
      <c r="F107" s="2" t="s">
        <v>10635</v>
      </c>
      <c r="G107" s="2" t="s">
        <v>10636</v>
      </c>
      <c r="H107" s="2" t="s">
        <v>10637</v>
      </c>
      <c r="I107" s="8">
        <v>1</v>
      </c>
      <c r="J107" s="2" t="s">
        <v>10638</v>
      </c>
      <c r="K107" s="2"/>
      <c r="L107" s="2" t="s">
        <v>10047</v>
      </c>
      <c r="M107" s="2" t="s">
        <v>29</v>
      </c>
      <c r="N107" s="2" t="s">
        <v>3936</v>
      </c>
      <c r="O107" s="2"/>
      <c r="P107" s="2"/>
    </row>
    <row r="108" spans="1:16" ht="13.2" customHeight="1" x14ac:dyDescent="0.25">
      <c r="A108" s="8" t="s">
        <v>10639</v>
      </c>
      <c r="B108" s="2" t="s">
        <v>10640</v>
      </c>
      <c r="C108" s="2"/>
      <c r="D108" s="2" t="s">
        <v>10305</v>
      </c>
      <c r="E108" s="2" t="s">
        <v>10306</v>
      </c>
      <c r="F108" s="2" t="s">
        <v>10311</v>
      </c>
      <c r="G108" s="2" t="s">
        <v>10312</v>
      </c>
      <c r="H108" s="2" t="s">
        <v>10313</v>
      </c>
      <c r="I108" s="8">
        <v>1</v>
      </c>
      <c r="J108" s="2" t="s">
        <v>10641</v>
      </c>
      <c r="K108" s="2"/>
      <c r="L108" s="2" t="s">
        <v>10058</v>
      </c>
      <c r="M108" s="2" t="s">
        <v>29</v>
      </c>
      <c r="N108" s="2" t="s">
        <v>3936</v>
      </c>
      <c r="O108" s="2"/>
      <c r="P108" s="2"/>
    </row>
    <row r="109" spans="1:16" ht="13.2" customHeight="1" x14ac:dyDescent="0.25">
      <c r="A109" s="8" t="s">
        <v>10642</v>
      </c>
      <c r="B109" s="2" t="s">
        <v>10643</v>
      </c>
      <c r="C109" s="2"/>
      <c r="D109" s="2" t="s">
        <v>10312</v>
      </c>
      <c r="E109" s="2" t="s">
        <v>10313</v>
      </c>
      <c r="F109" s="2" t="s">
        <v>10463</v>
      </c>
      <c r="G109" s="2" t="s">
        <v>10433</v>
      </c>
      <c r="H109" s="2" t="s">
        <v>10296</v>
      </c>
      <c r="I109" s="8">
        <v>1</v>
      </c>
      <c r="J109" s="2" t="s">
        <v>10644</v>
      </c>
      <c r="K109" s="2"/>
      <c r="L109" s="2" t="s">
        <v>10058</v>
      </c>
      <c r="M109" s="2" t="s">
        <v>29</v>
      </c>
      <c r="N109" s="2" t="s">
        <v>2655</v>
      </c>
      <c r="O109" s="2"/>
      <c r="P109" s="2"/>
    </row>
    <row r="110" spans="1:16" ht="13.2" customHeight="1" x14ac:dyDescent="0.25">
      <c r="A110" s="8" t="s">
        <v>10645</v>
      </c>
      <c r="B110" s="2" t="s">
        <v>10646</v>
      </c>
      <c r="C110" s="2"/>
      <c r="D110" s="2" t="s">
        <v>10433</v>
      </c>
      <c r="E110" s="2" t="s">
        <v>10296</v>
      </c>
      <c r="F110" s="2" t="s">
        <v>10297</v>
      </c>
      <c r="G110" s="2" t="s">
        <v>10298</v>
      </c>
      <c r="H110" s="2" t="s">
        <v>10299</v>
      </c>
      <c r="I110" s="8">
        <v>1</v>
      </c>
      <c r="J110" s="2" t="s">
        <v>10647</v>
      </c>
      <c r="K110" s="2"/>
      <c r="L110" s="2" t="s">
        <v>10058</v>
      </c>
      <c r="M110" s="2" t="s">
        <v>29</v>
      </c>
      <c r="N110" s="2" t="s">
        <v>3887</v>
      </c>
      <c r="O110" s="2"/>
      <c r="P110" s="2"/>
    </row>
    <row r="111" spans="1:16" ht="13.2" customHeight="1" x14ac:dyDescent="0.25">
      <c r="A111" s="8" t="s">
        <v>10648</v>
      </c>
      <c r="B111" s="2" t="s">
        <v>10649</v>
      </c>
      <c r="C111" s="2"/>
      <c r="D111" s="2" t="s">
        <v>10650</v>
      </c>
      <c r="E111" s="2" t="s">
        <v>10651</v>
      </c>
      <c r="F111" s="2" t="s">
        <v>10652</v>
      </c>
      <c r="G111" s="2" t="s">
        <v>10653</v>
      </c>
      <c r="H111" s="2" t="s">
        <v>10654</v>
      </c>
      <c r="I111" s="8">
        <v>1</v>
      </c>
      <c r="J111" s="2" t="s">
        <v>10655</v>
      </c>
      <c r="K111" s="2"/>
      <c r="L111" s="2" t="s">
        <v>10058</v>
      </c>
      <c r="M111" s="2" t="s">
        <v>29</v>
      </c>
      <c r="N111" s="2" t="s">
        <v>1669</v>
      </c>
      <c r="O111" s="2"/>
      <c r="P111" s="2"/>
    </row>
    <row r="112" spans="1:16" ht="13.2" customHeight="1" x14ac:dyDescent="0.25">
      <c r="A112" s="8" t="s">
        <v>10656</v>
      </c>
      <c r="B112" s="2" t="s">
        <v>10657</v>
      </c>
      <c r="C112" s="2"/>
      <c r="D112" s="2" t="s">
        <v>10658</v>
      </c>
      <c r="E112" s="2" t="s">
        <v>10306</v>
      </c>
      <c r="F112" s="2" t="s">
        <v>10311</v>
      </c>
      <c r="G112" s="2" t="s">
        <v>10312</v>
      </c>
      <c r="H112" s="2" t="s">
        <v>10313</v>
      </c>
      <c r="I112" s="8">
        <v>1</v>
      </c>
      <c r="J112" s="2" t="s">
        <v>10659</v>
      </c>
      <c r="K112" s="2"/>
      <c r="L112" s="2" t="s">
        <v>10047</v>
      </c>
      <c r="M112" s="2" t="s">
        <v>29</v>
      </c>
      <c r="N112" s="2" t="s">
        <v>1669</v>
      </c>
      <c r="O112" s="2"/>
      <c r="P112" s="2"/>
    </row>
    <row r="113" spans="1:16" ht="13.2" customHeight="1" x14ac:dyDescent="0.25">
      <c r="A113" s="8" t="s">
        <v>10660</v>
      </c>
      <c r="B113" s="2" t="s">
        <v>10661</v>
      </c>
      <c r="C113" s="2"/>
      <c r="D113" s="2" t="s">
        <v>10662</v>
      </c>
      <c r="E113" s="2" t="s">
        <v>10663</v>
      </c>
      <c r="F113" s="2" t="s">
        <v>10664</v>
      </c>
      <c r="G113" s="2" t="s">
        <v>10665</v>
      </c>
      <c r="H113" s="2" t="s">
        <v>10666</v>
      </c>
      <c r="I113" s="8">
        <v>2</v>
      </c>
      <c r="J113" s="2" t="s">
        <v>10667</v>
      </c>
      <c r="K113" s="2"/>
      <c r="L113" s="2" t="s">
        <v>10058</v>
      </c>
      <c r="M113" s="2" t="s">
        <v>29</v>
      </c>
      <c r="N113" s="2" t="s">
        <v>10668</v>
      </c>
      <c r="O113" s="2"/>
      <c r="P113" s="2"/>
    </row>
    <row r="114" spans="1:16" ht="13.2" customHeight="1" x14ac:dyDescent="0.25">
      <c r="A114" s="8" t="s">
        <v>10669</v>
      </c>
      <c r="B114" s="2" t="s">
        <v>10670</v>
      </c>
      <c r="C114" s="2"/>
      <c r="D114" s="2" t="s">
        <v>10671</v>
      </c>
      <c r="E114" s="2" t="s">
        <v>10672</v>
      </c>
      <c r="F114" s="2" t="s">
        <v>10673</v>
      </c>
      <c r="G114" s="2" t="s">
        <v>10674</v>
      </c>
      <c r="H114" s="2" t="s">
        <v>10675</v>
      </c>
      <c r="I114" s="8">
        <v>3</v>
      </c>
      <c r="J114" s="2" t="s">
        <v>10676</v>
      </c>
      <c r="K114" s="2"/>
      <c r="L114" s="2" t="s">
        <v>10058</v>
      </c>
      <c r="M114" s="2" t="s">
        <v>29</v>
      </c>
      <c r="N114" s="2" t="s">
        <v>9215</v>
      </c>
      <c r="O114" s="2"/>
      <c r="P114" s="2"/>
    </row>
    <row r="115" spans="1:16" ht="13.2" customHeight="1" x14ac:dyDescent="0.25">
      <c r="A115" s="8" t="s">
        <v>10677</v>
      </c>
      <c r="B115" s="2" t="s">
        <v>10678</v>
      </c>
      <c r="C115" s="2"/>
      <c r="D115" s="2" t="s">
        <v>5489</v>
      </c>
      <c r="E115" s="2" t="s">
        <v>10166</v>
      </c>
      <c r="F115" s="2" t="s">
        <v>7334</v>
      </c>
      <c r="G115" s="2" t="s">
        <v>10679</v>
      </c>
      <c r="H115" s="2" t="s">
        <v>10680</v>
      </c>
      <c r="I115" s="8">
        <v>1</v>
      </c>
      <c r="J115" s="2" t="s">
        <v>10681</v>
      </c>
      <c r="K115" s="2"/>
      <c r="L115" s="2" t="s">
        <v>10047</v>
      </c>
      <c r="M115" s="2" t="s">
        <v>29</v>
      </c>
      <c r="N115" s="2" t="s">
        <v>3994</v>
      </c>
      <c r="O115" s="2"/>
      <c r="P115" s="2"/>
    </row>
    <row r="116" spans="1:16" ht="13.2" customHeight="1" x14ac:dyDescent="0.25">
      <c r="A116" s="8" t="s">
        <v>10682</v>
      </c>
      <c r="B116" s="2" t="s">
        <v>10683</v>
      </c>
      <c r="C116" s="2"/>
      <c r="D116" s="2" t="s">
        <v>10140</v>
      </c>
      <c r="E116" s="2" t="s">
        <v>10370</v>
      </c>
      <c r="F116" s="2" t="s">
        <v>3111</v>
      </c>
      <c r="G116" s="2" t="s">
        <v>8748</v>
      </c>
      <c r="H116" s="2" t="s">
        <v>10684</v>
      </c>
      <c r="I116" s="8">
        <v>2</v>
      </c>
      <c r="J116" s="2" t="s">
        <v>10685</v>
      </c>
      <c r="K116" s="2"/>
      <c r="L116" s="2" t="s">
        <v>10047</v>
      </c>
      <c r="M116" s="2" t="s">
        <v>29</v>
      </c>
      <c r="N116" s="2" t="s">
        <v>10621</v>
      </c>
      <c r="O116" s="2"/>
      <c r="P116" s="2"/>
    </row>
    <row r="117" spans="1:16" ht="13.2" customHeight="1" x14ac:dyDescent="0.25">
      <c r="A117" s="2">
        <v>115</v>
      </c>
      <c r="B117" s="2" t="s">
        <v>10686</v>
      </c>
      <c r="C117" s="2"/>
      <c r="D117" s="2" t="s">
        <v>10687</v>
      </c>
      <c r="E117" s="2" t="s">
        <v>10688</v>
      </c>
      <c r="F117" s="2" t="s">
        <v>10689</v>
      </c>
      <c r="G117" s="2" t="s">
        <v>10690</v>
      </c>
      <c r="H117" s="2" t="s">
        <v>10691</v>
      </c>
      <c r="I117" s="8">
        <v>3</v>
      </c>
      <c r="J117" s="2" t="s">
        <v>10692</v>
      </c>
      <c r="K117" s="2"/>
      <c r="L117" s="2" t="s">
        <v>10693</v>
      </c>
      <c r="M117" s="2" t="s">
        <v>29</v>
      </c>
      <c r="N117" s="2" t="s">
        <v>10694</v>
      </c>
      <c r="O117" s="2"/>
      <c r="P117" s="2"/>
    </row>
    <row r="118" spans="1:16" ht="13.2" customHeight="1" x14ac:dyDescent="0.25">
      <c r="A118" s="2">
        <v>116</v>
      </c>
      <c r="B118" s="2" t="s">
        <v>10695</v>
      </c>
      <c r="C118" s="2"/>
      <c r="D118" s="2" t="s">
        <v>10696</v>
      </c>
      <c r="E118" s="2" t="s">
        <v>10697</v>
      </c>
      <c r="F118" s="2" t="s">
        <v>10698</v>
      </c>
      <c r="G118" s="2" t="s">
        <v>10699</v>
      </c>
      <c r="H118" s="2" t="s">
        <v>10700</v>
      </c>
      <c r="I118" s="8">
        <v>2</v>
      </c>
      <c r="J118" s="2" t="s">
        <v>10701</v>
      </c>
      <c r="K118" s="2"/>
      <c r="L118" s="2" t="s">
        <v>10693</v>
      </c>
      <c r="M118" s="2" t="s">
        <v>29</v>
      </c>
      <c r="N118" s="2" t="s">
        <v>10702</v>
      </c>
      <c r="O118" s="2"/>
      <c r="P118" s="2"/>
    </row>
  </sheetData>
  <mergeCells count="1">
    <mergeCell ref="A1:F1"/>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Q130"/>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21.6" customHeight="1" x14ac:dyDescent="0.25">
      <c r="A3" s="13">
        <v>1</v>
      </c>
      <c r="B3" s="2" t="s">
        <v>10703</v>
      </c>
      <c r="C3" s="2"/>
      <c r="D3" s="2" t="s">
        <v>10704</v>
      </c>
      <c r="E3" s="2" t="s">
        <v>10705</v>
      </c>
      <c r="F3" s="2" t="s">
        <v>10706</v>
      </c>
      <c r="G3" s="2" t="s">
        <v>10707</v>
      </c>
      <c r="H3" s="2" t="s">
        <v>10708</v>
      </c>
      <c r="I3" s="8">
        <v>2</v>
      </c>
      <c r="J3" s="2" t="s">
        <v>10709</v>
      </c>
      <c r="K3" s="2"/>
      <c r="L3" s="2" t="s">
        <v>1582</v>
      </c>
      <c r="M3" s="2" t="s">
        <v>84</v>
      </c>
      <c r="N3" s="2" t="s">
        <v>29</v>
      </c>
      <c r="O3" s="2"/>
      <c r="P3" s="2"/>
    </row>
    <row r="4" spans="1:16" ht="13.2" customHeight="1" x14ac:dyDescent="0.25">
      <c r="A4" s="8">
        <v>2</v>
      </c>
      <c r="B4" s="2" t="s">
        <v>10710</v>
      </c>
      <c r="C4" s="2"/>
      <c r="D4" s="2" t="s">
        <v>10711</v>
      </c>
      <c r="E4" s="2" t="s">
        <v>10712</v>
      </c>
      <c r="F4" s="2" t="s">
        <v>10713</v>
      </c>
      <c r="G4" s="2" t="s">
        <v>10714</v>
      </c>
      <c r="H4" s="2" t="s">
        <v>10715</v>
      </c>
      <c r="I4" s="8">
        <v>5</v>
      </c>
      <c r="J4" s="2" t="s">
        <v>10716</v>
      </c>
      <c r="K4" s="2"/>
      <c r="L4" s="2" t="s">
        <v>1582</v>
      </c>
      <c r="M4" s="2" t="s">
        <v>84</v>
      </c>
      <c r="N4" s="2" t="s">
        <v>29</v>
      </c>
      <c r="O4" s="2"/>
      <c r="P4" s="2"/>
    </row>
    <row r="5" spans="1:16" ht="13.2" customHeight="1" x14ac:dyDescent="0.25">
      <c r="A5" s="8">
        <v>3</v>
      </c>
      <c r="B5" s="2" t="s">
        <v>10717</v>
      </c>
      <c r="C5" s="2"/>
      <c r="D5" s="2" t="s">
        <v>10718</v>
      </c>
      <c r="E5" s="2" t="s">
        <v>10719</v>
      </c>
      <c r="F5" s="2" t="s">
        <v>7426</v>
      </c>
      <c r="G5" s="2" t="s">
        <v>10720</v>
      </c>
      <c r="H5" s="2" t="s">
        <v>10721</v>
      </c>
      <c r="I5" s="8">
        <v>2</v>
      </c>
      <c r="J5" s="2" t="s">
        <v>10722</v>
      </c>
      <c r="K5" s="2"/>
      <c r="L5" s="2" t="s">
        <v>1582</v>
      </c>
      <c r="M5" s="2" t="s">
        <v>96</v>
      </c>
      <c r="N5" s="2" t="s">
        <v>29</v>
      </c>
      <c r="O5" s="2"/>
      <c r="P5" s="2"/>
    </row>
    <row r="6" spans="1:16" ht="13.2" customHeight="1" x14ac:dyDescent="0.25">
      <c r="A6" s="8">
        <v>4</v>
      </c>
      <c r="B6" s="2" t="s">
        <v>10723</v>
      </c>
      <c r="C6" s="2"/>
      <c r="D6" s="2" t="s">
        <v>10724</v>
      </c>
      <c r="E6" s="2" t="s">
        <v>10725</v>
      </c>
      <c r="F6" s="2" t="s">
        <v>10726</v>
      </c>
      <c r="G6" s="2" t="s">
        <v>10727</v>
      </c>
      <c r="H6" s="2" t="s">
        <v>10728</v>
      </c>
      <c r="I6" s="8">
        <v>3</v>
      </c>
      <c r="J6" s="2" t="s">
        <v>10729</v>
      </c>
      <c r="K6" s="2"/>
      <c r="L6" s="2" t="s">
        <v>1582</v>
      </c>
      <c r="M6" s="2" t="s">
        <v>90</v>
      </c>
      <c r="N6" s="2" t="s">
        <v>29</v>
      </c>
      <c r="O6" s="2"/>
      <c r="P6" s="2"/>
    </row>
    <row r="7" spans="1:16" ht="13.2" customHeight="1" x14ac:dyDescent="0.25">
      <c r="A7" s="8">
        <v>5</v>
      </c>
      <c r="B7" s="2" t="s">
        <v>10730</v>
      </c>
      <c r="C7" s="2"/>
      <c r="D7" s="2" t="s">
        <v>10731</v>
      </c>
      <c r="E7" s="2" t="s">
        <v>10732</v>
      </c>
      <c r="F7" s="2" t="s">
        <v>10733</v>
      </c>
      <c r="G7" s="2" t="s">
        <v>10734</v>
      </c>
      <c r="H7" s="2" t="s">
        <v>10735</v>
      </c>
      <c r="I7" s="8">
        <v>4</v>
      </c>
      <c r="J7" s="2" t="s">
        <v>10736</v>
      </c>
      <c r="K7" s="2"/>
      <c r="L7" s="2" t="s">
        <v>1582</v>
      </c>
      <c r="M7" s="2" t="s">
        <v>113</v>
      </c>
      <c r="N7" s="2" t="s">
        <v>29</v>
      </c>
      <c r="O7" s="2"/>
      <c r="P7" s="2"/>
    </row>
    <row r="8" spans="1:16" ht="13.2" customHeight="1" x14ac:dyDescent="0.25">
      <c r="A8" s="8">
        <v>6</v>
      </c>
      <c r="B8" s="2" t="s">
        <v>10737</v>
      </c>
      <c r="C8" s="2"/>
      <c r="D8" s="2" t="s">
        <v>10738</v>
      </c>
      <c r="E8" s="2" t="s">
        <v>10739</v>
      </c>
      <c r="F8" s="2" t="s">
        <v>10740</v>
      </c>
      <c r="G8" s="2" t="s">
        <v>10741</v>
      </c>
      <c r="H8" s="2" t="s">
        <v>10742</v>
      </c>
      <c r="I8" s="8">
        <v>3</v>
      </c>
      <c r="J8" s="2" t="s">
        <v>10743</v>
      </c>
      <c r="K8" s="2"/>
      <c r="L8" s="2" t="s">
        <v>1582</v>
      </c>
      <c r="M8" s="2" t="s">
        <v>123</v>
      </c>
      <c r="N8" s="2" t="s">
        <v>29</v>
      </c>
      <c r="O8" s="2"/>
      <c r="P8" s="2"/>
    </row>
    <row r="9" spans="1:16" ht="13.2" customHeight="1" x14ac:dyDescent="0.25">
      <c r="A9" s="8">
        <v>7</v>
      </c>
      <c r="B9" s="2" t="s">
        <v>10744</v>
      </c>
      <c r="C9" s="2"/>
      <c r="D9" s="2" t="s">
        <v>10745</v>
      </c>
      <c r="E9" s="2" t="s">
        <v>10746</v>
      </c>
      <c r="F9" s="2" t="s">
        <v>4601</v>
      </c>
      <c r="G9" s="2" t="s">
        <v>10747</v>
      </c>
      <c r="H9" s="2" t="s">
        <v>10748</v>
      </c>
      <c r="I9" s="8">
        <v>5</v>
      </c>
      <c r="J9" s="2" t="s">
        <v>10749</v>
      </c>
      <c r="K9" s="2"/>
      <c r="L9" s="2" t="s">
        <v>1582</v>
      </c>
      <c r="M9" s="2" t="s">
        <v>132</v>
      </c>
      <c r="N9" s="2" t="s">
        <v>29</v>
      </c>
      <c r="O9" s="2"/>
      <c r="P9" s="2"/>
    </row>
    <row r="10" spans="1:16" ht="13.2" customHeight="1" x14ac:dyDescent="0.25">
      <c r="A10" s="8">
        <v>8</v>
      </c>
      <c r="B10" s="2" t="s">
        <v>10750</v>
      </c>
      <c r="C10" s="2"/>
      <c r="D10" s="2" t="s">
        <v>2966</v>
      </c>
      <c r="E10" s="2" t="s">
        <v>10528</v>
      </c>
      <c r="F10" s="2" t="s">
        <v>621</v>
      </c>
      <c r="G10" s="2" t="s">
        <v>5675</v>
      </c>
      <c r="H10" s="2" t="s">
        <v>7200</v>
      </c>
      <c r="I10" s="8">
        <v>4</v>
      </c>
      <c r="J10" s="2" t="s">
        <v>10751</v>
      </c>
      <c r="K10" s="2"/>
      <c r="L10" s="2" t="s">
        <v>1582</v>
      </c>
      <c r="M10" s="2" t="s">
        <v>10084</v>
      </c>
      <c r="N10" s="2" t="s">
        <v>29</v>
      </c>
      <c r="O10" s="2"/>
      <c r="P10" s="2"/>
    </row>
    <row r="11" spans="1:16" ht="13.2" customHeight="1" x14ac:dyDescent="0.25">
      <c r="A11" s="8">
        <v>9</v>
      </c>
      <c r="B11" s="2" t="s">
        <v>10752</v>
      </c>
      <c r="C11" s="2"/>
      <c r="D11" s="2" t="s">
        <v>10753</v>
      </c>
      <c r="E11" s="2" t="s">
        <v>10721</v>
      </c>
      <c r="F11" s="2" t="s">
        <v>10754</v>
      </c>
      <c r="G11" s="2" t="s">
        <v>6651</v>
      </c>
      <c r="H11" s="2" t="s">
        <v>799</v>
      </c>
      <c r="I11" s="8">
        <v>5</v>
      </c>
      <c r="J11" s="2" t="s">
        <v>10755</v>
      </c>
      <c r="K11" s="2"/>
      <c r="L11" s="2" t="s">
        <v>1582</v>
      </c>
      <c r="M11" s="2" t="s">
        <v>10093</v>
      </c>
      <c r="N11" s="2" t="s">
        <v>29</v>
      </c>
      <c r="O11" s="2"/>
      <c r="P11" s="2"/>
    </row>
    <row r="12" spans="1:16" ht="13.2" customHeight="1" x14ac:dyDescent="0.25">
      <c r="A12" s="8">
        <v>10</v>
      </c>
      <c r="B12" s="2" t="s">
        <v>10756</v>
      </c>
      <c r="C12" s="2"/>
      <c r="D12" s="2" t="s">
        <v>10757</v>
      </c>
      <c r="E12" s="2" t="s">
        <v>10758</v>
      </c>
      <c r="F12" s="2" t="s">
        <v>10759</v>
      </c>
      <c r="G12" s="2" t="s">
        <v>10760</v>
      </c>
      <c r="H12" s="2" t="s">
        <v>10761</v>
      </c>
      <c r="I12" s="8">
        <v>1</v>
      </c>
      <c r="J12" s="2" t="s">
        <v>10762</v>
      </c>
      <c r="K12" s="2"/>
      <c r="L12" s="2" t="s">
        <v>1582</v>
      </c>
      <c r="M12" s="2" t="s">
        <v>10102</v>
      </c>
      <c r="N12" s="2" t="s">
        <v>29</v>
      </c>
      <c r="O12" s="2"/>
      <c r="P12" s="2"/>
    </row>
    <row r="13" spans="1:16" ht="13.2" customHeight="1" x14ac:dyDescent="0.25">
      <c r="A13" s="8">
        <v>11</v>
      </c>
      <c r="B13" s="2" t="s">
        <v>10763</v>
      </c>
      <c r="C13" s="2"/>
      <c r="D13" s="2" t="s">
        <v>10764</v>
      </c>
      <c r="E13" s="2" t="s">
        <v>10765</v>
      </c>
      <c r="F13" s="2" t="s">
        <v>10766</v>
      </c>
      <c r="G13" s="2" t="s">
        <v>10767</v>
      </c>
      <c r="H13" s="2" t="s">
        <v>10768</v>
      </c>
      <c r="I13" s="8">
        <v>3</v>
      </c>
      <c r="J13" s="2" t="s">
        <v>10769</v>
      </c>
      <c r="K13" s="2"/>
      <c r="L13" s="2" t="s">
        <v>1582</v>
      </c>
      <c r="M13" s="2" t="s">
        <v>10111</v>
      </c>
      <c r="N13" s="2" t="s">
        <v>29</v>
      </c>
      <c r="O13" s="2"/>
      <c r="P13" s="2"/>
    </row>
    <row r="14" spans="1:16" ht="13.2" customHeight="1" x14ac:dyDescent="0.25">
      <c r="A14" s="8">
        <v>12</v>
      </c>
      <c r="B14" s="2" t="s">
        <v>10770</v>
      </c>
      <c r="C14" s="2"/>
      <c r="D14" s="2" t="s">
        <v>10771</v>
      </c>
      <c r="E14" s="2" t="s">
        <v>10772</v>
      </c>
      <c r="F14" s="2" t="s">
        <v>10773</v>
      </c>
      <c r="G14" s="2" t="s">
        <v>10774</v>
      </c>
      <c r="H14" s="2" t="s">
        <v>10775</v>
      </c>
      <c r="I14" s="8">
        <v>3</v>
      </c>
      <c r="J14" s="2" t="s">
        <v>10776</v>
      </c>
      <c r="K14" s="2"/>
      <c r="L14" s="2" t="s">
        <v>1582</v>
      </c>
      <c r="M14" s="2" t="s">
        <v>10119</v>
      </c>
      <c r="N14" s="2" t="s">
        <v>29</v>
      </c>
      <c r="O14" s="2"/>
      <c r="P14" s="2"/>
    </row>
    <row r="15" spans="1:16" ht="13.2" customHeight="1" x14ac:dyDescent="0.25">
      <c r="A15" s="8">
        <v>13</v>
      </c>
      <c r="B15" s="2" t="s">
        <v>10777</v>
      </c>
      <c r="C15" s="2"/>
      <c r="D15" s="2" t="s">
        <v>10778</v>
      </c>
      <c r="E15" s="2" t="s">
        <v>10779</v>
      </c>
      <c r="F15" s="2" t="s">
        <v>10780</v>
      </c>
      <c r="G15" s="2" t="s">
        <v>10781</v>
      </c>
      <c r="H15" s="2" t="s">
        <v>799</v>
      </c>
      <c r="I15" s="8">
        <v>1</v>
      </c>
      <c r="J15" s="2" t="s">
        <v>10782</v>
      </c>
      <c r="K15" s="2"/>
      <c r="L15" s="2" t="s">
        <v>1582</v>
      </c>
      <c r="M15" s="2" t="s">
        <v>10123</v>
      </c>
      <c r="N15" s="2" t="s">
        <v>29</v>
      </c>
      <c r="O15" s="2"/>
      <c r="P15" s="2"/>
    </row>
    <row r="16" spans="1:16" ht="13.2" customHeight="1" x14ac:dyDescent="0.25">
      <c r="A16" s="8">
        <v>14</v>
      </c>
      <c r="B16" s="2" t="s">
        <v>10783</v>
      </c>
      <c r="C16" s="2"/>
      <c r="D16" s="2" t="s">
        <v>10784</v>
      </c>
      <c r="E16" s="2" t="s">
        <v>10785</v>
      </c>
      <c r="F16" s="2" t="s">
        <v>10786</v>
      </c>
      <c r="G16" s="2" t="s">
        <v>10787</v>
      </c>
      <c r="H16" s="2" t="s">
        <v>799</v>
      </c>
      <c r="I16" s="8">
        <v>1</v>
      </c>
      <c r="J16" s="2" t="s">
        <v>10788</v>
      </c>
      <c r="K16" s="2"/>
      <c r="L16" s="2" t="s">
        <v>1582</v>
      </c>
      <c r="M16" s="2" t="s">
        <v>10130</v>
      </c>
      <c r="N16" s="2" t="s">
        <v>29</v>
      </c>
      <c r="O16" s="2"/>
      <c r="P16" s="2"/>
    </row>
    <row r="17" spans="1:16" ht="13.2" customHeight="1" x14ac:dyDescent="0.25">
      <c r="A17" s="8">
        <v>15</v>
      </c>
      <c r="B17" s="2" t="s">
        <v>10789</v>
      </c>
      <c r="C17" s="2"/>
      <c r="D17" s="2" t="s">
        <v>10790</v>
      </c>
      <c r="E17" s="2" t="s">
        <v>10791</v>
      </c>
      <c r="F17" s="2" t="s">
        <v>10792</v>
      </c>
      <c r="G17" s="2" t="s">
        <v>10793</v>
      </c>
      <c r="H17" s="2" t="s">
        <v>799</v>
      </c>
      <c r="I17" s="8">
        <v>2</v>
      </c>
      <c r="J17" s="2" t="s">
        <v>10794</v>
      </c>
      <c r="K17" s="2"/>
      <c r="L17" s="2" t="s">
        <v>1582</v>
      </c>
      <c r="M17" s="2" t="s">
        <v>10137</v>
      </c>
      <c r="N17" s="2" t="s">
        <v>29</v>
      </c>
      <c r="O17" s="2"/>
      <c r="P17" s="2"/>
    </row>
    <row r="18" spans="1:16" ht="13.2" customHeight="1" x14ac:dyDescent="0.25">
      <c r="A18" s="8">
        <v>16</v>
      </c>
      <c r="B18" s="2" t="s">
        <v>10795</v>
      </c>
      <c r="C18" s="2"/>
      <c r="D18" s="2" t="s">
        <v>10796</v>
      </c>
      <c r="E18" s="2" t="s">
        <v>10797</v>
      </c>
      <c r="F18" s="2" t="s">
        <v>10798</v>
      </c>
      <c r="G18" s="2" t="s">
        <v>10799</v>
      </c>
      <c r="H18" s="2" t="s">
        <v>10754</v>
      </c>
      <c r="I18" s="8">
        <v>2</v>
      </c>
      <c r="J18" s="2" t="s">
        <v>10800</v>
      </c>
      <c r="K18" s="2"/>
      <c r="L18" s="2" t="s">
        <v>1582</v>
      </c>
      <c r="M18" s="2" t="s">
        <v>10142</v>
      </c>
      <c r="N18" s="2" t="s">
        <v>29</v>
      </c>
      <c r="O18" s="2"/>
      <c r="P18" s="2"/>
    </row>
    <row r="19" spans="1:16" ht="13.2" customHeight="1" x14ac:dyDescent="0.25">
      <c r="A19" s="8">
        <v>17</v>
      </c>
      <c r="B19" s="2" t="s">
        <v>10801</v>
      </c>
      <c r="C19" s="2"/>
      <c r="D19" s="2" t="s">
        <v>10802</v>
      </c>
      <c r="E19" s="2" t="s">
        <v>10803</v>
      </c>
      <c r="F19" s="2" t="s">
        <v>10804</v>
      </c>
      <c r="G19" s="2" t="s">
        <v>10805</v>
      </c>
      <c r="H19" s="2" t="s">
        <v>10806</v>
      </c>
      <c r="I19" s="8">
        <v>5</v>
      </c>
      <c r="J19" s="2" t="s">
        <v>10807</v>
      </c>
      <c r="K19" s="2"/>
      <c r="L19" s="2" t="s">
        <v>1582</v>
      </c>
      <c r="M19" s="2" t="s">
        <v>10146</v>
      </c>
      <c r="N19" s="2" t="s">
        <v>29</v>
      </c>
      <c r="O19" s="2"/>
      <c r="P19" s="2"/>
    </row>
    <row r="20" spans="1:16" ht="13.2" customHeight="1" x14ac:dyDescent="0.25">
      <c r="A20" s="8">
        <v>18</v>
      </c>
      <c r="B20" s="2" t="s">
        <v>10808</v>
      </c>
      <c r="C20" s="2"/>
      <c r="D20" s="2" t="s">
        <v>10809</v>
      </c>
      <c r="E20" s="2" t="s">
        <v>10810</v>
      </c>
      <c r="F20" s="2" t="s">
        <v>10811</v>
      </c>
      <c r="G20" s="2" t="s">
        <v>10812</v>
      </c>
      <c r="H20" s="2" t="s">
        <v>10813</v>
      </c>
      <c r="I20" s="8">
        <v>2</v>
      </c>
      <c r="J20" s="2" t="s">
        <v>10814</v>
      </c>
      <c r="K20" s="2"/>
      <c r="L20" s="2" t="s">
        <v>1582</v>
      </c>
      <c r="M20" s="2" t="s">
        <v>10154</v>
      </c>
      <c r="N20" s="2" t="s">
        <v>29</v>
      </c>
      <c r="O20" s="2"/>
      <c r="P20" s="2"/>
    </row>
    <row r="21" spans="1:16" ht="13.2" customHeight="1" x14ac:dyDescent="0.25">
      <c r="A21" s="8">
        <v>19</v>
      </c>
      <c r="B21" s="2" t="s">
        <v>10815</v>
      </c>
      <c r="C21" s="2"/>
      <c r="D21" s="2" t="s">
        <v>10816</v>
      </c>
      <c r="E21" s="2" t="s">
        <v>10817</v>
      </c>
      <c r="F21" s="2" t="s">
        <v>10818</v>
      </c>
      <c r="G21" s="2" t="s">
        <v>10819</v>
      </c>
      <c r="H21" s="2" t="s">
        <v>10820</v>
      </c>
      <c r="I21" s="8">
        <v>2</v>
      </c>
      <c r="J21" s="2" t="s">
        <v>10821</v>
      </c>
      <c r="K21" s="2"/>
      <c r="L21" s="2" t="s">
        <v>1582</v>
      </c>
      <c r="M21" s="2" t="s">
        <v>10162</v>
      </c>
      <c r="N21" s="2" t="s">
        <v>29</v>
      </c>
      <c r="O21" s="2"/>
      <c r="P21" s="2"/>
    </row>
    <row r="22" spans="1:16" ht="13.2" customHeight="1" x14ac:dyDescent="0.25">
      <c r="A22" s="8">
        <v>20</v>
      </c>
      <c r="B22" s="2" t="s">
        <v>10822</v>
      </c>
      <c r="C22" s="2"/>
      <c r="D22" s="2" t="s">
        <v>10823</v>
      </c>
      <c r="E22" s="2" t="s">
        <v>10824</v>
      </c>
      <c r="F22" s="2" t="s">
        <v>10825</v>
      </c>
      <c r="G22" s="2" t="s">
        <v>10826</v>
      </c>
      <c r="H22" s="2" t="s">
        <v>10827</v>
      </c>
      <c r="I22" s="8">
        <v>2</v>
      </c>
      <c r="J22" s="2" t="s">
        <v>10828</v>
      </c>
      <c r="K22" s="2"/>
      <c r="L22" s="2" t="s">
        <v>1582</v>
      </c>
      <c r="M22" s="2" t="s">
        <v>10169</v>
      </c>
      <c r="N22" s="2" t="s">
        <v>29</v>
      </c>
      <c r="O22" s="2"/>
      <c r="P22" s="2"/>
    </row>
    <row r="23" spans="1:16" ht="13.2" customHeight="1" x14ac:dyDescent="0.25">
      <c r="A23" s="8">
        <v>21</v>
      </c>
      <c r="B23" s="2" t="s">
        <v>10829</v>
      </c>
      <c r="C23" s="2"/>
      <c r="D23" s="2" t="s">
        <v>10830</v>
      </c>
      <c r="E23" s="2" t="s">
        <v>10831</v>
      </c>
      <c r="F23" s="2" t="s">
        <v>10832</v>
      </c>
      <c r="G23" s="2" t="s">
        <v>10833</v>
      </c>
      <c r="H23" s="2" t="s">
        <v>10834</v>
      </c>
      <c r="I23" s="8">
        <v>1</v>
      </c>
      <c r="J23" s="2" t="s">
        <v>10835</v>
      </c>
      <c r="K23" s="2"/>
      <c r="L23" s="2" t="s">
        <v>1582</v>
      </c>
      <c r="M23" s="2" t="s">
        <v>10177</v>
      </c>
      <c r="N23" s="2" t="s">
        <v>29</v>
      </c>
      <c r="O23" s="2"/>
      <c r="P23" s="2"/>
    </row>
    <row r="24" spans="1:16" ht="13.2" customHeight="1" x14ac:dyDescent="0.25">
      <c r="A24" s="8">
        <v>22</v>
      </c>
      <c r="B24" s="2" t="s">
        <v>10836</v>
      </c>
      <c r="C24" s="2"/>
      <c r="D24" s="2" t="s">
        <v>10837</v>
      </c>
      <c r="E24" s="2" t="s">
        <v>10838</v>
      </c>
      <c r="F24" s="2" t="s">
        <v>5675</v>
      </c>
      <c r="G24" s="2" t="s">
        <v>7406</v>
      </c>
      <c r="H24" s="2" t="s">
        <v>10839</v>
      </c>
      <c r="I24" s="8">
        <v>2</v>
      </c>
      <c r="J24" s="2" t="s">
        <v>10840</v>
      </c>
      <c r="K24" s="2"/>
      <c r="L24" s="2" t="s">
        <v>1582</v>
      </c>
      <c r="M24" s="2" t="s">
        <v>10183</v>
      </c>
      <c r="N24" s="2" t="s">
        <v>29</v>
      </c>
      <c r="O24" s="2"/>
      <c r="P24" s="2"/>
    </row>
    <row r="25" spans="1:16" ht="13.2" customHeight="1" x14ac:dyDescent="0.25">
      <c r="A25" s="8">
        <v>23</v>
      </c>
      <c r="B25" s="2" t="s">
        <v>10841</v>
      </c>
      <c r="C25" s="2"/>
      <c r="D25" s="2" t="s">
        <v>10842</v>
      </c>
      <c r="E25" s="2" t="s">
        <v>2663</v>
      </c>
      <c r="F25" s="2" t="s">
        <v>428</v>
      </c>
      <c r="G25" s="2" t="s">
        <v>9563</v>
      </c>
      <c r="H25" s="2" t="s">
        <v>8308</v>
      </c>
      <c r="I25" s="8">
        <v>2</v>
      </c>
      <c r="J25" s="2" t="s">
        <v>10843</v>
      </c>
      <c r="K25" s="2"/>
      <c r="L25" s="2" t="s">
        <v>1582</v>
      </c>
      <c r="M25" s="2" t="s">
        <v>10189</v>
      </c>
      <c r="N25" s="2" t="s">
        <v>29</v>
      </c>
      <c r="O25" s="2"/>
      <c r="P25" s="2"/>
    </row>
    <row r="26" spans="1:16" ht="13.2" customHeight="1" x14ac:dyDescent="0.25">
      <c r="A26" s="8">
        <v>24</v>
      </c>
      <c r="B26" s="2" t="s">
        <v>10844</v>
      </c>
      <c r="C26" s="2"/>
      <c r="D26" s="2" t="s">
        <v>10845</v>
      </c>
      <c r="E26" s="2" t="s">
        <v>10846</v>
      </c>
      <c r="F26" s="2" t="s">
        <v>10847</v>
      </c>
      <c r="G26" s="2" t="s">
        <v>10848</v>
      </c>
      <c r="H26" s="2" t="s">
        <v>10849</v>
      </c>
      <c r="I26" s="8">
        <v>5</v>
      </c>
      <c r="J26" s="2" t="s">
        <v>10850</v>
      </c>
      <c r="K26" s="2"/>
      <c r="L26" s="2" t="s">
        <v>1582</v>
      </c>
      <c r="M26" s="2" t="s">
        <v>10197</v>
      </c>
      <c r="N26" s="2" t="s">
        <v>29</v>
      </c>
      <c r="O26" s="2"/>
      <c r="P26" s="2"/>
    </row>
    <row r="27" spans="1:16" ht="13.2" customHeight="1" x14ac:dyDescent="0.25">
      <c r="A27" s="8">
        <v>25</v>
      </c>
      <c r="B27" s="2" t="s">
        <v>10851</v>
      </c>
      <c r="C27" s="2"/>
      <c r="D27" s="2" t="s">
        <v>10852</v>
      </c>
      <c r="E27" s="2" t="s">
        <v>10853</v>
      </c>
      <c r="F27" s="2" t="s">
        <v>10854</v>
      </c>
      <c r="G27" s="2" t="s">
        <v>10855</v>
      </c>
      <c r="H27" s="2" t="s">
        <v>10856</v>
      </c>
      <c r="I27" s="8">
        <v>3</v>
      </c>
      <c r="J27" s="2" t="s">
        <v>10857</v>
      </c>
      <c r="K27" s="2"/>
      <c r="L27" s="2" t="s">
        <v>1582</v>
      </c>
      <c r="M27" s="2" t="s">
        <v>10207</v>
      </c>
      <c r="N27" s="2" t="s">
        <v>29</v>
      </c>
      <c r="O27" s="2"/>
      <c r="P27" s="2"/>
    </row>
    <row r="28" spans="1:16" ht="13.2" customHeight="1" x14ac:dyDescent="0.25">
      <c r="A28" s="8">
        <v>26</v>
      </c>
      <c r="B28" s="2" t="s">
        <v>10858</v>
      </c>
      <c r="C28" s="2"/>
      <c r="D28" s="2" t="s">
        <v>10859</v>
      </c>
      <c r="E28" s="2" t="s">
        <v>10860</v>
      </c>
      <c r="F28" s="2" t="s">
        <v>10861</v>
      </c>
      <c r="G28" s="2" t="s">
        <v>7194</v>
      </c>
      <c r="H28" s="2" t="s">
        <v>10862</v>
      </c>
      <c r="I28" s="8">
        <v>3</v>
      </c>
      <c r="J28" s="2" t="s">
        <v>10863</v>
      </c>
      <c r="K28" s="2"/>
      <c r="L28" s="2" t="s">
        <v>7234</v>
      </c>
      <c r="M28" s="2" t="s">
        <v>10214</v>
      </c>
      <c r="N28" s="2" t="s">
        <v>29</v>
      </c>
      <c r="O28" s="2"/>
      <c r="P28" s="2"/>
    </row>
    <row r="29" spans="1:16" ht="13.2" customHeight="1" x14ac:dyDescent="0.25">
      <c r="A29" s="8">
        <v>27</v>
      </c>
      <c r="B29" s="2" t="s">
        <v>10864</v>
      </c>
      <c r="C29" s="2"/>
      <c r="D29" s="2" t="s">
        <v>3173</v>
      </c>
      <c r="E29" s="2" t="s">
        <v>10865</v>
      </c>
      <c r="F29" s="2" t="s">
        <v>674</v>
      </c>
      <c r="G29" s="2" t="s">
        <v>7450</v>
      </c>
      <c r="H29" s="2" t="s">
        <v>10866</v>
      </c>
      <c r="I29" s="8">
        <v>5</v>
      </c>
      <c r="J29" s="2" t="s">
        <v>10867</v>
      </c>
      <c r="K29" s="2"/>
      <c r="L29" s="2" t="s">
        <v>1582</v>
      </c>
      <c r="M29" s="2" t="s">
        <v>10222</v>
      </c>
      <c r="N29" s="2" t="s">
        <v>29</v>
      </c>
      <c r="O29" s="2"/>
      <c r="P29" s="2"/>
    </row>
    <row r="30" spans="1:16" ht="13.2" customHeight="1" x14ac:dyDescent="0.25">
      <c r="A30" s="8">
        <v>28</v>
      </c>
      <c r="B30" s="2" t="s">
        <v>10868</v>
      </c>
      <c r="C30" s="2"/>
      <c r="D30" s="2" t="s">
        <v>10869</v>
      </c>
      <c r="E30" s="2" t="s">
        <v>10870</v>
      </c>
      <c r="F30" s="2" t="s">
        <v>10871</v>
      </c>
      <c r="G30" s="2" t="s">
        <v>10872</v>
      </c>
      <c r="H30" s="2" t="s">
        <v>10873</v>
      </c>
      <c r="I30" s="8">
        <v>3</v>
      </c>
      <c r="J30" s="2" t="s">
        <v>10874</v>
      </c>
      <c r="K30" s="2"/>
      <c r="L30" s="2" t="s">
        <v>1582</v>
      </c>
      <c r="M30" s="2" t="s">
        <v>10231</v>
      </c>
      <c r="N30" s="2" t="s">
        <v>29</v>
      </c>
      <c r="O30" s="2"/>
      <c r="P30" s="2"/>
    </row>
    <row r="31" spans="1:16" ht="13.2" customHeight="1" x14ac:dyDescent="0.25">
      <c r="A31" s="8">
        <v>29</v>
      </c>
      <c r="B31" s="2" t="s">
        <v>10875</v>
      </c>
      <c r="C31" s="2"/>
      <c r="D31" s="2" t="s">
        <v>10876</v>
      </c>
      <c r="E31" s="2" t="s">
        <v>10877</v>
      </c>
      <c r="F31" s="2" t="s">
        <v>10878</v>
      </c>
      <c r="G31" s="2" t="s">
        <v>10879</v>
      </c>
      <c r="H31" s="2" t="s">
        <v>10880</v>
      </c>
      <c r="I31" s="8">
        <v>3</v>
      </c>
      <c r="J31" s="2" t="s">
        <v>10881</v>
      </c>
      <c r="K31" s="2"/>
      <c r="L31" s="2" t="s">
        <v>1582</v>
      </c>
      <c r="M31" s="2" t="s">
        <v>10238</v>
      </c>
      <c r="N31" s="2" t="s">
        <v>29</v>
      </c>
      <c r="O31" s="2"/>
      <c r="P31" s="2"/>
    </row>
    <row r="32" spans="1:16" ht="13.2" customHeight="1" x14ac:dyDescent="0.25">
      <c r="A32" s="8">
        <v>30</v>
      </c>
      <c r="B32" s="2" t="s">
        <v>10882</v>
      </c>
      <c r="C32" s="2"/>
      <c r="D32" s="2" t="s">
        <v>6651</v>
      </c>
      <c r="E32" s="2" t="s">
        <v>10883</v>
      </c>
      <c r="F32" s="2" t="s">
        <v>10884</v>
      </c>
      <c r="G32" s="2" t="s">
        <v>10754</v>
      </c>
      <c r="H32" s="2" t="s">
        <v>10885</v>
      </c>
      <c r="I32" s="8">
        <v>5</v>
      </c>
      <c r="J32" s="2" t="s">
        <v>10886</v>
      </c>
      <c r="K32" s="2"/>
      <c r="L32" s="2" t="s">
        <v>1582</v>
      </c>
      <c r="M32" s="2" t="s">
        <v>10246</v>
      </c>
      <c r="N32" s="2" t="s">
        <v>29</v>
      </c>
      <c r="O32" s="2"/>
      <c r="P32" s="2"/>
    </row>
    <row r="33" spans="1:16" ht="13.2" customHeight="1" x14ac:dyDescent="0.25">
      <c r="A33" s="8">
        <v>31</v>
      </c>
      <c r="B33" s="2" t="s">
        <v>10887</v>
      </c>
      <c r="C33" s="2"/>
      <c r="D33" s="2" t="s">
        <v>10888</v>
      </c>
      <c r="E33" s="2" t="s">
        <v>10889</v>
      </c>
      <c r="F33" s="2" t="s">
        <v>10890</v>
      </c>
      <c r="G33" s="2" t="s">
        <v>10891</v>
      </c>
      <c r="H33" s="2" t="s">
        <v>799</v>
      </c>
      <c r="I33" s="8">
        <v>1</v>
      </c>
      <c r="J33" s="2" t="s">
        <v>10892</v>
      </c>
      <c r="K33" s="2"/>
      <c r="L33" s="2" t="s">
        <v>1582</v>
      </c>
      <c r="M33" s="2" t="s">
        <v>10250</v>
      </c>
      <c r="N33" s="2" t="s">
        <v>29</v>
      </c>
      <c r="O33" s="2"/>
      <c r="P33" s="2"/>
    </row>
    <row r="34" spans="1:16" ht="13.2" customHeight="1" x14ac:dyDescent="0.25">
      <c r="A34" s="8">
        <v>32</v>
      </c>
      <c r="B34" s="2" t="s">
        <v>10893</v>
      </c>
      <c r="C34" s="2"/>
      <c r="D34" s="2" t="s">
        <v>10894</v>
      </c>
      <c r="E34" s="2" t="s">
        <v>10895</v>
      </c>
      <c r="F34" s="2" t="s">
        <v>10781</v>
      </c>
      <c r="G34" s="2" t="s">
        <v>10896</v>
      </c>
      <c r="H34" s="2" t="s">
        <v>10897</v>
      </c>
      <c r="I34" s="8">
        <v>4</v>
      </c>
      <c r="J34" s="2" t="s">
        <v>10898</v>
      </c>
      <c r="K34" s="2"/>
      <c r="L34" s="2" t="s">
        <v>1582</v>
      </c>
      <c r="M34" s="2" t="s">
        <v>10257</v>
      </c>
      <c r="N34" s="2" t="s">
        <v>29</v>
      </c>
      <c r="O34" s="2"/>
      <c r="P34" s="2"/>
    </row>
    <row r="35" spans="1:16" ht="13.2" customHeight="1" x14ac:dyDescent="0.25">
      <c r="A35" s="8">
        <v>33</v>
      </c>
      <c r="B35" s="2" t="s">
        <v>10899</v>
      </c>
      <c r="C35" s="2"/>
      <c r="D35" s="2" t="s">
        <v>10900</v>
      </c>
      <c r="E35" s="2" t="s">
        <v>10901</v>
      </c>
      <c r="F35" s="2" t="s">
        <v>10902</v>
      </c>
      <c r="G35" s="2" t="s">
        <v>10903</v>
      </c>
      <c r="H35" s="2" t="s">
        <v>10904</v>
      </c>
      <c r="I35" s="8">
        <v>3</v>
      </c>
      <c r="J35" s="2" t="s">
        <v>10905</v>
      </c>
      <c r="K35" s="2"/>
      <c r="L35" s="2" t="s">
        <v>1582</v>
      </c>
      <c r="M35" s="2" t="s">
        <v>10261</v>
      </c>
      <c r="N35" s="2" t="s">
        <v>29</v>
      </c>
      <c r="O35" s="2"/>
      <c r="P35" s="2"/>
    </row>
    <row r="36" spans="1:16" ht="13.2" customHeight="1" x14ac:dyDescent="0.25">
      <c r="A36" s="8">
        <v>34</v>
      </c>
      <c r="B36" s="2" t="s">
        <v>10906</v>
      </c>
      <c r="C36" s="2"/>
      <c r="D36" s="2" t="s">
        <v>10907</v>
      </c>
      <c r="E36" s="2" t="s">
        <v>10908</v>
      </c>
      <c r="F36" s="2" t="s">
        <v>10909</v>
      </c>
      <c r="G36" s="2" t="s">
        <v>10910</v>
      </c>
      <c r="H36" s="2" t="s">
        <v>10911</v>
      </c>
      <c r="I36" s="8">
        <v>4</v>
      </c>
      <c r="J36" s="2" t="s">
        <v>10912</v>
      </c>
      <c r="K36" s="2"/>
      <c r="L36" s="2" t="s">
        <v>1582</v>
      </c>
      <c r="M36" s="2" t="s">
        <v>10267</v>
      </c>
      <c r="N36" s="2" t="s">
        <v>29</v>
      </c>
      <c r="O36" s="2"/>
      <c r="P36" s="2"/>
    </row>
    <row r="37" spans="1:16" ht="13.2" customHeight="1" x14ac:dyDescent="0.25">
      <c r="A37" s="8">
        <v>35</v>
      </c>
      <c r="B37" s="2" t="s">
        <v>10913</v>
      </c>
      <c r="C37" s="2"/>
      <c r="D37" s="2" t="s">
        <v>10914</v>
      </c>
      <c r="E37" s="2" t="s">
        <v>10915</v>
      </c>
      <c r="F37" s="2" t="s">
        <v>10916</v>
      </c>
      <c r="G37" s="2" t="s">
        <v>10917</v>
      </c>
      <c r="H37" s="2" t="s">
        <v>10918</v>
      </c>
      <c r="I37" s="8">
        <v>4</v>
      </c>
      <c r="J37" s="2" t="s">
        <v>10919</v>
      </c>
      <c r="K37" s="2"/>
      <c r="L37" s="2" t="s">
        <v>1582</v>
      </c>
      <c r="M37" s="2" t="s">
        <v>10920</v>
      </c>
      <c r="N37" s="2" t="s">
        <v>29</v>
      </c>
      <c r="O37" s="2"/>
      <c r="P37" s="2"/>
    </row>
    <row r="38" spans="1:16" ht="13.2" customHeight="1" x14ac:dyDescent="0.25">
      <c r="A38" s="8">
        <v>36</v>
      </c>
      <c r="B38" s="2" t="s">
        <v>10921</v>
      </c>
      <c r="C38" s="2"/>
      <c r="D38" s="2" t="s">
        <v>10922</v>
      </c>
      <c r="E38" s="2" t="s">
        <v>10923</v>
      </c>
      <c r="F38" s="2" t="s">
        <v>10924</v>
      </c>
      <c r="G38" s="2" t="s">
        <v>10925</v>
      </c>
      <c r="H38" s="2" t="s">
        <v>10926</v>
      </c>
      <c r="I38" s="8">
        <v>5</v>
      </c>
      <c r="J38" s="2" t="s">
        <v>10927</v>
      </c>
      <c r="K38" s="2"/>
      <c r="L38" s="2" t="s">
        <v>1582</v>
      </c>
      <c r="M38" s="2" t="s">
        <v>10275</v>
      </c>
      <c r="N38" s="2" t="s">
        <v>29</v>
      </c>
      <c r="O38" s="2"/>
      <c r="P38" s="2"/>
    </row>
    <row r="39" spans="1:16" ht="13.2" customHeight="1" x14ac:dyDescent="0.25">
      <c r="A39" s="8">
        <v>37</v>
      </c>
      <c r="B39" s="2" t="s">
        <v>10928</v>
      </c>
      <c r="C39" s="2"/>
      <c r="D39" s="2" t="s">
        <v>10929</v>
      </c>
      <c r="E39" s="2" t="s">
        <v>10930</v>
      </c>
      <c r="F39" s="2" t="s">
        <v>10931</v>
      </c>
      <c r="G39" s="2" t="s">
        <v>10932</v>
      </c>
      <c r="H39" s="2" t="s">
        <v>10933</v>
      </c>
      <c r="I39" s="8">
        <v>2</v>
      </c>
      <c r="J39" s="2" t="s">
        <v>10934</v>
      </c>
      <c r="K39" s="2"/>
      <c r="L39" s="2" t="s">
        <v>1582</v>
      </c>
      <c r="M39" s="2" t="s">
        <v>10285</v>
      </c>
      <c r="N39" s="2" t="s">
        <v>29</v>
      </c>
      <c r="O39" s="2"/>
      <c r="P39" s="2"/>
    </row>
    <row r="40" spans="1:16" ht="13.2" customHeight="1" x14ac:dyDescent="0.25">
      <c r="A40" s="8">
        <v>38</v>
      </c>
      <c r="B40" s="2" t="s">
        <v>10935</v>
      </c>
      <c r="C40" s="2"/>
      <c r="D40" s="2" t="s">
        <v>10936</v>
      </c>
      <c r="E40" s="2" t="s">
        <v>10937</v>
      </c>
      <c r="F40" s="2" t="s">
        <v>10938</v>
      </c>
      <c r="G40" s="2" t="s">
        <v>10939</v>
      </c>
      <c r="H40" s="2" t="s">
        <v>10940</v>
      </c>
      <c r="I40" s="8">
        <v>4</v>
      </c>
      <c r="J40" s="2" t="s">
        <v>10941</v>
      </c>
      <c r="K40" s="2"/>
      <c r="L40" s="2" t="s">
        <v>1582</v>
      </c>
      <c r="M40" s="2" t="s">
        <v>10294</v>
      </c>
      <c r="N40" s="2" t="s">
        <v>29</v>
      </c>
      <c r="O40" s="2"/>
      <c r="P40" s="2"/>
    </row>
    <row r="41" spans="1:16" ht="13.2" customHeight="1" x14ac:dyDescent="0.25">
      <c r="A41" s="8">
        <v>39</v>
      </c>
      <c r="B41" s="2" t="s">
        <v>10942</v>
      </c>
      <c r="C41" s="2"/>
      <c r="D41" s="2" t="s">
        <v>10943</v>
      </c>
      <c r="E41" s="2" t="s">
        <v>10944</v>
      </c>
      <c r="F41" s="2" t="s">
        <v>10945</v>
      </c>
      <c r="G41" s="2" t="s">
        <v>10946</v>
      </c>
      <c r="H41" s="2" t="s">
        <v>10947</v>
      </c>
      <c r="I41" s="8">
        <v>1</v>
      </c>
      <c r="J41" s="2" t="s">
        <v>10948</v>
      </c>
      <c r="K41" s="2"/>
      <c r="L41" s="2" t="s">
        <v>1582</v>
      </c>
      <c r="M41" s="2" t="s">
        <v>10302</v>
      </c>
      <c r="N41" s="2" t="s">
        <v>29</v>
      </c>
      <c r="O41" s="2"/>
      <c r="P41" s="2"/>
    </row>
    <row r="42" spans="1:16" ht="13.2" customHeight="1" x14ac:dyDescent="0.25">
      <c r="A42" s="8">
        <v>40</v>
      </c>
      <c r="B42" s="2" t="s">
        <v>10949</v>
      </c>
      <c r="C42" s="2"/>
      <c r="D42" s="2" t="s">
        <v>10950</v>
      </c>
      <c r="E42" s="2" t="s">
        <v>10951</v>
      </c>
      <c r="F42" s="2" t="s">
        <v>10952</v>
      </c>
      <c r="G42" s="2" t="s">
        <v>10953</v>
      </c>
      <c r="H42" s="2" t="s">
        <v>10954</v>
      </c>
      <c r="I42" s="8">
        <v>1</v>
      </c>
      <c r="J42" s="2" t="s">
        <v>10955</v>
      </c>
      <c r="K42" s="2"/>
      <c r="L42" s="2" t="s">
        <v>1582</v>
      </c>
      <c r="M42" s="2" t="s">
        <v>10309</v>
      </c>
      <c r="N42" s="2" t="s">
        <v>29</v>
      </c>
      <c r="O42" s="2"/>
      <c r="P42" s="2"/>
    </row>
    <row r="43" spans="1:16" ht="13.2" customHeight="1" x14ac:dyDescent="0.25">
      <c r="A43" s="8">
        <v>41</v>
      </c>
      <c r="B43" s="2" t="s">
        <v>10956</v>
      </c>
      <c r="C43" s="2"/>
      <c r="D43" s="2" t="s">
        <v>10957</v>
      </c>
      <c r="E43" s="2" t="s">
        <v>10958</v>
      </c>
      <c r="F43" s="2" t="s">
        <v>10959</v>
      </c>
      <c r="G43" s="2" t="s">
        <v>10960</v>
      </c>
      <c r="H43" s="2" t="s">
        <v>10961</v>
      </c>
      <c r="I43" s="8">
        <v>1</v>
      </c>
      <c r="J43" s="2" t="s">
        <v>10962</v>
      </c>
      <c r="K43" s="2"/>
      <c r="L43" s="2" t="s">
        <v>1582</v>
      </c>
      <c r="M43" s="2" t="s">
        <v>10316</v>
      </c>
      <c r="N43" s="2" t="s">
        <v>29</v>
      </c>
      <c r="O43" s="2"/>
      <c r="P43" s="2"/>
    </row>
    <row r="44" spans="1:16" ht="13.2" customHeight="1" x14ac:dyDescent="0.25">
      <c r="A44" s="8">
        <v>42</v>
      </c>
      <c r="B44" s="2" t="s">
        <v>10963</v>
      </c>
      <c r="C44" s="2"/>
      <c r="D44" s="2" t="s">
        <v>10964</v>
      </c>
      <c r="E44" s="2" t="s">
        <v>10965</v>
      </c>
      <c r="F44" s="2" t="s">
        <v>10966</v>
      </c>
      <c r="G44" s="2" t="s">
        <v>10967</v>
      </c>
      <c r="H44" s="2" t="s">
        <v>10968</v>
      </c>
      <c r="I44" s="8">
        <v>3</v>
      </c>
      <c r="J44" s="2" t="s">
        <v>10969</v>
      </c>
      <c r="K44" s="2"/>
      <c r="L44" s="2" t="s">
        <v>7234</v>
      </c>
      <c r="M44" s="2" t="s">
        <v>10323</v>
      </c>
      <c r="N44" s="2" t="s">
        <v>29</v>
      </c>
      <c r="O44" s="2"/>
      <c r="P44" s="2"/>
    </row>
    <row r="45" spans="1:16" ht="13.2" customHeight="1" x14ac:dyDescent="0.25">
      <c r="A45" s="8">
        <v>43</v>
      </c>
      <c r="B45" s="2" t="s">
        <v>10970</v>
      </c>
      <c r="C45" s="2"/>
      <c r="D45" s="2" t="s">
        <v>10971</v>
      </c>
      <c r="E45" s="2" t="s">
        <v>7038</v>
      </c>
      <c r="F45" s="2" t="s">
        <v>516</v>
      </c>
      <c r="G45" s="2" t="s">
        <v>3598</v>
      </c>
      <c r="H45" s="2" t="s">
        <v>10972</v>
      </c>
      <c r="I45" s="8">
        <v>2</v>
      </c>
      <c r="J45" s="2" t="s">
        <v>10973</v>
      </c>
      <c r="K45" s="2"/>
      <c r="L45" s="2" t="s">
        <v>1582</v>
      </c>
      <c r="M45" s="2" t="s">
        <v>10327</v>
      </c>
      <c r="N45" s="2" t="s">
        <v>29</v>
      </c>
      <c r="O45" s="2"/>
      <c r="P45" s="2"/>
    </row>
    <row r="46" spans="1:16" ht="13.2" customHeight="1" x14ac:dyDescent="0.25">
      <c r="A46" s="8">
        <v>44</v>
      </c>
      <c r="B46" s="2" t="s">
        <v>10974</v>
      </c>
      <c r="C46" s="2"/>
      <c r="D46" s="2" t="s">
        <v>10975</v>
      </c>
      <c r="E46" s="2" t="s">
        <v>10976</v>
      </c>
      <c r="F46" s="2" t="s">
        <v>10977</v>
      </c>
      <c r="G46" s="2" t="s">
        <v>10978</v>
      </c>
      <c r="H46" s="2" t="s">
        <v>10979</v>
      </c>
      <c r="I46" s="8">
        <v>4</v>
      </c>
      <c r="J46" s="2" t="s">
        <v>10980</v>
      </c>
      <c r="K46" s="2"/>
      <c r="L46" s="2" t="s">
        <v>1582</v>
      </c>
      <c r="M46" s="2" t="s">
        <v>10333</v>
      </c>
      <c r="N46" s="2" t="s">
        <v>29</v>
      </c>
      <c r="O46" s="2"/>
      <c r="P46" s="2"/>
    </row>
    <row r="47" spans="1:16" ht="13.2" customHeight="1" x14ac:dyDescent="0.25">
      <c r="A47" s="8">
        <v>45</v>
      </c>
      <c r="B47" s="2" t="s">
        <v>10981</v>
      </c>
      <c r="C47" s="2"/>
      <c r="D47" s="2" t="s">
        <v>10982</v>
      </c>
      <c r="E47" s="2" t="s">
        <v>10983</v>
      </c>
      <c r="F47" s="2" t="s">
        <v>10984</v>
      </c>
      <c r="G47" s="2" t="s">
        <v>10985</v>
      </c>
      <c r="H47" s="2" t="s">
        <v>10986</v>
      </c>
      <c r="I47" s="8">
        <v>4</v>
      </c>
      <c r="J47" s="2" t="s">
        <v>10987</v>
      </c>
      <c r="K47" s="2"/>
      <c r="L47" s="2" t="s">
        <v>1582</v>
      </c>
      <c r="M47" s="2" t="s">
        <v>10340</v>
      </c>
      <c r="N47" s="2" t="s">
        <v>29</v>
      </c>
      <c r="O47" s="2"/>
      <c r="P47" s="2"/>
    </row>
    <row r="48" spans="1:16" ht="13.2" customHeight="1" x14ac:dyDescent="0.25">
      <c r="A48" s="8">
        <v>46</v>
      </c>
      <c r="B48" s="2" t="s">
        <v>10988</v>
      </c>
      <c r="C48" s="2"/>
      <c r="D48" s="2" t="s">
        <v>875</v>
      </c>
      <c r="E48" s="2" t="s">
        <v>3106</v>
      </c>
      <c r="F48" s="2" t="s">
        <v>10989</v>
      </c>
      <c r="G48" s="2" t="s">
        <v>346</v>
      </c>
      <c r="H48" s="2" t="s">
        <v>10990</v>
      </c>
      <c r="I48" s="8">
        <v>3</v>
      </c>
      <c r="J48" s="2" t="s">
        <v>10991</v>
      </c>
      <c r="K48" s="2"/>
      <c r="L48" s="2" t="s">
        <v>1582</v>
      </c>
      <c r="M48" s="2" t="s">
        <v>10354</v>
      </c>
      <c r="N48" s="2" t="s">
        <v>29</v>
      </c>
      <c r="O48" s="2"/>
      <c r="P48" s="2"/>
    </row>
    <row r="49" spans="1:17" ht="13.2" customHeight="1" x14ac:dyDescent="0.25">
      <c r="A49" s="8">
        <v>47</v>
      </c>
      <c r="B49" s="2" t="s">
        <v>10992</v>
      </c>
      <c r="C49" s="2"/>
      <c r="D49" s="2" t="s">
        <v>2945</v>
      </c>
      <c r="E49" s="2" t="s">
        <v>10993</v>
      </c>
      <c r="F49" s="2" t="s">
        <v>10994</v>
      </c>
      <c r="G49" s="2" t="s">
        <v>2942</v>
      </c>
      <c r="H49" s="2" t="s">
        <v>10995</v>
      </c>
      <c r="I49" s="8">
        <v>3</v>
      </c>
      <c r="J49" s="2" t="s">
        <v>10996</v>
      </c>
      <c r="K49" s="2"/>
      <c r="L49" s="2" t="s">
        <v>1582</v>
      </c>
      <c r="M49" s="2" t="s">
        <v>10363</v>
      </c>
      <c r="N49" s="2" t="s">
        <v>29</v>
      </c>
      <c r="O49" s="2"/>
      <c r="P49" s="2"/>
    </row>
    <row r="50" spans="1:17" ht="13.2" customHeight="1" x14ac:dyDescent="0.25">
      <c r="A50" s="8">
        <v>48</v>
      </c>
      <c r="B50" s="2" t="s">
        <v>10997</v>
      </c>
      <c r="C50" s="2"/>
      <c r="D50" s="2" t="s">
        <v>6953</v>
      </c>
      <c r="E50" s="2" t="s">
        <v>10998</v>
      </c>
      <c r="F50" s="2" t="s">
        <v>10187</v>
      </c>
      <c r="G50" s="2" t="s">
        <v>10999</v>
      </c>
      <c r="H50" s="2" t="s">
        <v>6955</v>
      </c>
      <c r="I50" s="8">
        <v>2</v>
      </c>
      <c r="J50" s="2" t="s">
        <v>11000</v>
      </c>
      <c r="K50" s="2"/>
      <c r="L50" s="2" t="s">
        <v>1582</v>
      </c>
      <c r="M50" s="2" t="s">
        <v>10368</v>
      </c>
      <c r="N50" s="2" t="s">
        <v>29</v>
      </c>
      <c r="O50" s="2"/>
      <c r="P50" s="2"/>
    </row>
    <row r="51" spans="1:17" ht="13.2" customHeight="1" x14ac:dyDescent="0.25">
      <c r="A51" s="8">
        <v>49</v>
      </c>
      <c r="B51" s="2" t="s">
        <v>11001</v>
      </c>
      <c r="C51" s="2"/>
      <c r="D51" s="2" t="s">
        <v>11002</v>
      </c>
      <c r="E51" s="2" t="s">
        <v>11003</v>
      </c>
      <c r="F51" s="2" t="s">
        <v>11004</v>
      </c>
      <c r="G51" s="2" t="s">
        <v>11005</v>
      </c>
      <c r="H51" s="2" t="s">
        <v>11006</v>
      </c>
      <c r="I51" s="8">
        <v>1</v>
      </c>
      <c r="J51" s="2" t="s">
        <v>11007</v>
      </c>
      <c r="K51" s="2"/>
      <c r="L51" s="2" t="s">
        <v>1582</v>
      </c>
      <c r="M51" s="2" t="s">
        <v>10373</v>
      </c>
      <c r="N51" s="2" t="s">
        <v>29</v>
      </c>
      <c r="O51" s="2"/>
      <c r="P51" s="2"/>
    </row>
    <row r="52" spans="1:17" ht="13.2" customHeight="1" x14ac:dyDescent="0.25">
      <c r="A52" s="8">
        <v>50</v>
      </c>
      <c r="B52" s="2" t="s">
        <v>11008</v>
      </c>
      <c r="C52" s="2"/>
      <c r="D52" s="2" t="s">
        <v>11009</v>
      </c>
      <c r="E52" s="2" t="s">
        <v>11010</v>
      </c>
      <c r="F52" s="2" t="s">
        <v>11011</v>
      </c>
      <c r="G52" s="2" t="s">
        <v>11012</v>
      </c>
      <c r="H52" s="2" t="s">
        <v>11013</v>
      </c>
      <c r="I52" s="8">
        <v>5</v>
      </c>
      <c r="J52" s="2" t="s">
        <v>11014</v>
      </c>
      <c r="K52" s="2"/>
      <c r="L52" s="2" t="s">
        <v>1582</v>
      </c>
      <c r="M52" s="2" t="s">
        <v>10380</v>
      </c>
      <c r="N52" s="2" t="s">
        <v>29</v>
      </c>
      <c r="O52" s="2"/>
      <c r="P52" s="2"/>
    </row>
    <row r="53" spans="1:17" ht="13.2" customHeight="1" x14ac:dyDescent="0.25">
      <c r="A53" s="8">
        <v>51</v>
      </c>
      <c r="B53" s="2" t="s">
        <v>11015</v>
      </c>
      <c r="C53" s="2"/>
      <c r="D53" s="2" t="s">
        <v>1975</v>
      </c>
      <c r="E53" s="2" t="s">
        <v>11016</v>
      </c>
      <c r="F53" s="2" t="s">
        <v>11017</v>
      </c>
      <c r="G53" s="2" t="s">
        <v>11018</v>
      </c>
      <c r="H53" s="2" t="s">
        <v>11019</v>
      </c>
      <c r="I53" s="8">
        <v>4</v>
      </c>
      <c r="J53" s="2" t="s">
        <v>11020</v>
      </c>
      <c r="K53" s="2"/>
      <c r="L53" s="2" t="s">
        <v>1582</v>
      </c>
      <c r="M53" s="2" t="s">
        <v>8862</v>
      </c>
      <c r="N53" s="2" t="s">
        <v>29</v>
      </c>
      <c r="O53" s="2"/>
      <c r="P53" s="2"/>
    </row>
    <row r="54" spans="1:17" ht="13.2" customHeight="1" x14ac:dyDescent="0.25">
      <c r="A54" s="8">
        <v>52</v>
      </c>
      <c r="B54" s="2" t="s">
        <v>11021</v>
      </c>
      <c r="C54" s="2"/>
      <c r="D54" s="2" t="s">
        <v>6953</v>
      </c>
      <c r="E54" s="2" t="s">
        <v>11022</v>
      </c>
      <c r="F54" s="2" t="s">
        <v>5023</v>
      </c>
      <c r="G54" s="2" t="s">
        <v>6620</v>
      </c>
      <c r="H54" s="2" t="s">
        <v>11023</v>
      </c>
      <c r="I54" s="8">
        <v>2</v>
      </c>
      <c r="J54" s="2" t="s">
        <v>11024</v>
      </c>
      <c r="K54" s="2"/>
      <c r="L54" s="2" t="s">
        <v>1582</v>
      </c>
      <c r="M54" s="2" t="s">
        <v>10397</v>
      </c>
      <c r="N54" s="2" t="s">
        <v>29</v>
      </c>
      <c r="O54" s="2"/>
      <c r="P54" s="2"/>
    </row>
    <row r="55" spans="1:17" ht="13.2" customHeight="1" x14ac:dyDescent="0.25">
      <c r="A55" s="8">
        <v>53</v>
      </c>
      <c r="B55" s="2" t="s">
        <v>11025</v>
      </c>
      <c r="C55" s="2"/>
      <c r="D55" s="2" t="s">
        <v>9133</v>
      </c>
      <c r="E55" s="2" t="s">
        <v>11026</v>
      </c>
      <c r="F55" s="2" t="s">
        <v>11027</v>
      </c>
      <c r="G55" s="2" t="s">
        <v>7412</v>
      </c>
      <c r="H55" s="2" t="s">
        <v>674</v>
      </c>
      <c r="I55" s="8">
        <v>1</v>
      </c>
      <c r="J55" s="2" t="s">
        <v>11028</v>
      </c>
      <c r="K55" s="2"/>
      <c r="L55" s="2" t="s">
        <v>1582</v>
      </c>
      <c r="M55" s="2" t="s">
        <v>10405</v>
      </c>
      <c r="N55" s="2" t="s">
        <v>29</v>
      </c>
      <c r="O55" s="2"/>
      <c r="P55" s="2"/>
    </row>
    <row r="56" spans="1:17" ht="13.2" customHeight="1" x14ac:dyDescent="0.25">
      <c r="A56" s="8">
        <v>54</v>
      </c>
      <c r="B56" s="2" t="s">
        <v>11029</v>
      </c>
      <c r="C56" s="2"/>
      <c r="D56" s="2" t="s">
        <v>11030</v>
      </c>
      <c r="E56" s="2" t="s">
        <v>11031</v>
      </c>
      <c r="F56" s="2" t="s">
        <v>11032</v>
      </c>
      <c r="G56" s="2" t="s">
        <v>11033</v>
      </c>
      <c r="H56" s="2" t="s">
        <v>11034</v>
      </c>
      <c r="I56" s="8">
        <v>1</v>
      </c>
      <c r="J56" s="2" t="s">
        <v>11035</v>
      </c>
      <c r="K56" s="2"/>
      <c r="L56" s="2" t="s">
        <v>1582</v>
      </c>
      <c r="M56" s="2" t="s">
        <v>10427</v>
      </c>
      <c r="N56" s="2" t="s">
        <v>11036</v>
      </c>
      <c r="O56" s="2"/>
      <c r="P56" s="2"/>
      <c r="Q56" s="2"/>
    </row>
    <row r="57" spans="1:17" ht="13.2" customHeight="1" x14ac:dyDescent="0.25">
      <c r="A57" s="8">
        <v>55</v>
      </c>
      <c r="B57" s="2" t="s">
        <v>11037</v>
      </c>
      <c r="C57" s="2"/>
      <c r="D57" s="2" t="s">
        <v>11038</v>
      </c>
      <c r="E57" s="2" t="s">
        <v>11039</v>
      </c>
      <c r="F57" s="2" t="s">
        <v>11040</v>
      </c>
      <c r="G57" s="2" t="s">
        <v>11041</v>
      </c>
      <c r="H57" s="2" t="s">
        <v>11042</v>
      </c>
      <c r="I57" s="8">
        <v>1</v>
      </c>
      <c r="J57" s="2" t="s">
        <v>11043</v>
      </c>
      <c r="K57" s="2"/>
      <c r="L57" s="2" t="s">
        <v>1582</v>
      </c>
      <c r="M57" s="2" t="s">
        <v>10431</v>
      </c>
      <c r="N57" s="2" t="s">
        <v>11036</v>
      </c>
      <c r="O57" s="2"/>
      <c r="P57" s="2"/>
      <c r="Q57" s="2"/>
    </row>
    <row r="58" spans="1:17" ht="13.2" customHeight="1" x14ac:dyDescent="0.25">
      <c r="A58" s="8">
        <v>56</v>
      </c>
      <c r="B58" s="2" t="s">
        <v>11044</v>
      </c>
      <c r="C58" s="2"/>
      <c r="D58" s="2" t="s">
        <v>11045</v>
      </c>
      <c r="E58" s="2" t="s">
        <v>11046</v>
      </c>
      <c r="F58" s="2" t="s">
        <v>11047</v>
      </c>
      <c r="G58" s="2" t="s">
        <v>11048</v>
      </c>
      <c r="H58" s="2" t="s">
        <v>11049</v>
      </c>
      <c r="I58" s="8">
        <v>1</v>
      </c>
      <c r="J58" s="2" t="s">
        <v>11050</v>
      </c>
      <c r="K58" s="2"/>
      <c r="L58" s="2" t="s">
        <v>1582</v>
      </c>
      <c r="M58" s="2" t="s">
        <v>10436</v>
      </c>
      <c r="N58" s="2" t="s">
        <v>11036</v>
      </c>
      <c r="O58" s="2"/>
      <c r="P58" s="2"/>
    </row>
    <row r="59" spans="1:17" ht="13.2" customHeight="1" x14ac:dyDescent="0.25">
      <c r="A59" s="8">
        <v>57</v>
      </c>
      <c r="B59" s="2" t="s">
        <v>11051</v>
      </c>
      <c r="C59" s="2"/>
      <c r="D59" s="2" t="s">
        <v>11052</v>
      </c>
      <c r="E59" s="2" t="s">
        <v>11053</v>
      </c>
      <c r="F59" s="2" t="s">
        <v>11054</v>
      </c>
      <c r="G59" s="2" t="s">
        <v>11055</v>
      </c>
      <c r="H59" s="2" t="s">
        <v>11056</v>
      </c>
      <c r="I59" s="8">
        <v>1</v>
      </c>
      <c r="J59" s="2" t="s">
        <v>11057</v>
      </c>
      <c r="K59" s="2"/>
      <c r="L59" s="2" t="s">
        <v>1582</v>
      </c>
      <c r="M59" s="2" t="s">
        <v>10440</v>
      </c>
      <c r="N59" s="2" t="s">
        <v>11036</v>
      </c>
      <c r="O59" s="2"/>
      <c r="P59" s="2"/>
    </row>
    <row r="60" spans="1:17" ht="13.2" customHeight="1" x14ac:dyDescent="0.25">
      <c r="A60" s="8">
        <v>58</v>
      </c>
      <c r="B60" s="2" t="s">
        <v>11058</v>
      </c>
      <c r="C60" s="2"/>
      <c r="D60" s="2" t="s">
        <v>11059</v>
      </c>
      <c r="E60" s="2" t="s">
        <v>11060</v>
      </c>
      <c r="F60" s="2" t="s">
        <v>11061</v>
      </c>
      <c r="G60" s="2" t="s">
        <v>11062</v>
      </c>
      <c r="H60" s="2" t="s">
        <v>11063</v>
      </c>
      <c r="I60" s="8">
        <v>1</v>
      </c>
      <c r="J60" s="2" t="s">
        <v>11064</v>
      </c>
      <c r="K60" s="2"/>
      <c r="L60" s="2" t="s">
        <v>7234</v>
      </c>
      <c r="M60" s="2" t="s">
        <v>10445</v>
      </c>
      <c r="N60" s="2" t="s">
        <v>11036</v>
      </c>
      <c r="O60" s="2"/>
      <c r="P60" s="2"/>
    </row>
    <row r="61" spans="1:17" ht="13.2" customHeight="1" x14ac:dyDescent="0.25">
      <c r="A61" s="8">
        <v>59</v>
      </c>
      <c r="B61" s="2" t="s">
        <v>11065</v>
      </c>
      <c r="C61" s="2"/>
      <c r="D61" s="2" t="s">
        <v>2725</v>
      </c>
      <c r="E61" s="2" t="s">
        <v>2966</v>
      </c>
      <c r="F61" s="2" t="s">
        <v>2967</v>
      </c>
      <c r="G61" s="2" t="s">
        <v>11066</v>
      </c>
      <c r="H61" s="2" t="s">
        <v>3219</v>
      </c>
      <c r="I61" s="8">
        <v>1</v>
      </c>
      <c r="J61" s="2" t="s">
        <v>11067</v>
      </c>
      <c r="K61" s="2"/>
      <c r="L61" s="2" t="s">
        <v>7234</v>
      </c>
      <c r="M61" s="2" t="s">
        <v>10450</v>
      </c>
      <c r="N61" s="2" t="s">
        <v>11036</v>
      </c>
      <c r="O61" s="2"/>
      <c r="P61" s="2"/>
      <c r="Q61" s="2"/>
    </row>
    <row r="62" spans="1:17" ht="13.2" customHeight="1" x14ac:dyDescent="0.25">
      <c r="A62" s="8">
        <v>60</v>
      </c>
      <c r="B62" s="2" t="s">
        <v>11068</v>
      </c>
      <c r="C62" s="2"/>
      <c r="D62" s="2" t="s">
        <v>11069</v>
      </c>
      <c r="E62" s="2" t="s">
        <v>11070</v>
      </c>
      <c r="F62" s="2" t="s">
        <v>11071</v>
      </c>
      <c r="G62" s="2" t="s">
        <v>11072</v>
      </c>
      <c r="H62" s="2" t="s">
        <v>11073</v>
      </c>
      <c r="I62" s="8">
        <v>1</v>
      </c>
      <c r="J62" s="2" t="s">
        <v>11074</v>
      </c>
      <c r="K62" s="2"/>
      <c r="L62" s="2" t="s">
        <v>7234</v>
      </c>
      <c r="M62" s="2" t="s">
        <v>10454</v>
      </c>
      <c r="N62" s="2" t="s">
        <v>11036</v>
      </c>
      <c r="O62" s="2"/>
      <c r="P62" s="2"/>
      <c r="Q62" s="2"/>
    </row>
    <row r="63" spans="1:17" ht="13.2" customHeight="1" x14ac:dyDescent="0.25">
      <c r="A63" s="8">
        <v>61</v>
      </c>
      <c r="B63" s="2" t="s">
        <v>11075</v>
      </c>
      <c r="C63" s="2"/>
      <c r="D63" s="2" t="s">
        <v>11076</v>
      </c>
      <c r="E63" s="2" t="s">
        <v>7012</v>
      </c>
      <c r="F63" s="2" t="s">
        <v>11077</v>
      </c>
      <c r="G63" s="2" t="s">
        <v>11078</v>
      </c>
      <c r="H63" s="2" t="s">
        <v>11079</v>
      </c>
      <c r="I63" s="8">
        <v>1</v>
      </c>
      <c r="J63" s="2" t="s">
        <v>11080</v>
      </c>
      <c r="K63" s="2"/>
      <c r="L63" s="2" t="s">
        <v>7234</v>
      </c>
      <c r="M63" s="2" t="s">
        <v>10457</v>
      </c>
      <c r="N63" s="2" t="s">
        <v>11036</v>
      </c>
      <c r="O63" s="2"/>
      <c r="P63" s="2"/>
    </row>
    <row r="64" spans="1:17" ht="13.2" customHeight="1" x14ac:dyDescent="0.25">
      <c r="A64" s="8">
        <v>62</v>
      </c>
      <c r="B64" s="2" t="s">
        <v>11081</v>
      </c>
      <c r="C64" s="2"/>
      <c r="D64" s="2" t="s">
        <v>11082</v>
      </c>
      <c r="E64" s="2" t="s">
        <v>3271</v>
      </c>
      <c r="F64" s="2" t="s">
        <v>11083</v>
      </c>
      <c r="G64" s="2" t="s">
        <v>11084</v>
      </c>
      <c r="H64" s="2" t="s">
        <v>11085</v>
      </c>
      <c r="I64" s="8">
        <v>1</v>
      </c>
      <c r="J64" s="2" t="s">
        <v>11086</v>
      </c>
      <c r="K64" s="2"/>
      <c r="L64" s="2" t="s">
        <v>1582</v>
      </c>
      <c r="M64" s="2" t="s">
        <v>10461</v>
      </c>
      <c r="N64" s="2" t="s">
        <v>11036</v>
      </c>
      <c r="O64" s="2"/>
      <c r="P64" s="2"/>
      <c r="Q64" s="2"/>
    </row>
    <row r="65" spans="1:17" ht="13.2" customHeight="1" x14ac:dyDescent="0.25">
      <c r="A65" s="8">
        <v>63</v>
      </c>
      <c r="B65" s="2" t="s">
        <v>11087</v>
      </c>
      <c r="C65" s="2"/>
      <c r="D65" s="2" t="s">
        <v>11088</v>
      </c>
      <c r="E65" s="2" t="s">
        <v>11089</v>
      </c>
      <c r="F65" s="2" t="s">
        <v>1889</v>
      </c>
      <c r="G65" s="2" t="s">
        <v>11090</v>
      </c>
      <c r="H65" s="2" t="s">
        <v>11091</v>
      </c>
      <c r="I65" s="8">
        <v>1</v>
      </c>
      <c r="J65" s="2" t="s">
        <v>11092</v>
      </c>
      <c r="K65" s="2"/>
      <c r="L65" s="2" t="s">
        <v>1582</v>
      </c>
      <c r="M65" s="2" t="s">
        <v>10465</v>
      </c>
      <c r="N65" s="2" t="s">
        <v>11036</v>
      </c>
      <c r="O65" s="2"/>
      <c r="P65" s="2"/>
      <c r="Q65" s="2"/>
    </row>
    <row r="66" spans="1:17" ht="13.2" customHeight="1" x14ac:dyDescent="0.25">
      <c r="A66" s="8">
        <v>64</v>
      </c>
      <c r="B66" s="2" t="s">
        <v>11093</v>
      </c>
      <c r="C66" s="2"/>
      <c r="D66" s="2" t="s">
        <v>11094</v>
      </c>
      <c r="E66" s="2" t="s">
        <v>11095</v>
      </c>
      <c r="F66" s="2" t="s">
        <v>11096</v>
      </c>
      <c r="G66" s="2" t="s">
        <v>11097</v>
      </c>
      <c r="H66" s="2" t="s">
        <v>11098</v>
      </c>
      <c r="I66" s="8">
        <v>1</v>
      </c>
      <c r="J66" s="2" t="s">
        <v>11099</v>
      </c>
      <c r="K66" s="2"/>
      <c r="L66" s="2" t="s">
        <v>1582</v>
      </c>
      <c r="M66" s="2" t="s">
        <v>10468</v>
      </c>
      <c r="N66" s="2" t="s">
        <v>11036</v>
      </c>
      <c r="O66" s="2"/>
      <c r="P66" s="2"/>
      <c r="Q66" s="2"/>
    </row>
    <row r="67" spans="1:17" ht="13.2" customHeight="1" x14ac:dyDescent="0.25">
      <c r="A67" s="8">
        <v>65</v>
      </c>
      <c r="B67" s="2" t="s">
        <v>11100</v>
      </c>
      <c r="C67" s="2"/>
      <c r="D67" s="2" t="s">
        <v>11101</v>
      </c>
      <c r="E67" s="2" t="s">
        <v>11102</v>
      </c>
      <c r="F67" s="2" t="s">
        <v>11103</v>
      </c>
      <c r="G67" s="2" t="s">
        <v>11104</v>
      </c>
      <c r="H67" s="2" t="s">
        <v>11105</v>
      </c>
      <c r="I67" s="8">
        <v>1</v>
      </c>
      <c r="J67" s="2" t="s">
        <v>11106</v>
      </c>
      <c r="K67" s="2"/>
      <c r="L67" s="2" t="s">
        <v>7234</v>
      </c>
      <c r="M67" s="2" t="s">
        <v>10470</v>
      </c>
      <c r="N67" s="2" t="s">
        <v>11036</v>
      </c>
      <c r="O67" s="2"/>
      <c r="P67" s="2"/>
    </row>
    <row r="68" spans="1:17" ht="13.2" customHeight="1" x14ac:dyDescent="0.25">
      <c r="A68" s="8">
        <v>66</v>
      </c>
      <c r="B68" s="2" t="s">
        <v>11107</v>
      </c>
      <c r="C68" s="2"/>
      <c r="D68" s="2" t="s">
        <v>11108</v>
      </c>
      <c r="E68" s="2" t="s">
        <v>11109</v>
      </c>
      <c r="F68" s="2" t="s">
        <v>11110</v>
      </c>
      <c r="G68" s="2" t="s">
        <v>11111</v>
      </c>
      <c r="H68" s="2" t="s">
        <v>11112</v>
      </c>
      <c r="I68" s="8">
        <v>1</v>
      </c>
      <c r="J68" s="2" t="s">
        <v>11113</v>
      </c>
      <c r="K68" s="2"/>
      <c r="L68" s="2" t="s">
        <v>7234</v>
      </c>
      <c r="M68" s="2" t="s">
        <v>10478</v>
      </c>
      <c r="N68" s="2" t="s">
        <v>11036</v>
      </c>
      <c r="O68" s="2"/>
      <c r="P68" s="2"/>
    </row>
    <row r="69" spans="1:17" ht="13.2" customHeight="1" x14ac:dyDescent="0.25">
      <c r="A69" s="8">
        <v>67</v>
      </c>
      <c r="B69" s="2" t="s">
        <v>11114</v>
      </c>
      <c r="C69" s="2"/>
      <c r="D69" s="2" t="s">
        <v>11115</v>
      </c>
      <c r="E69" s="2" t="s">
        <v>11116</v>
      </c>
      <c r="F69" s="2" t="s">
        <v>11117</v>
      </c>
      <c r="G69" s="2" t="s">
        <v>11118</v>
      </c>
      <c r="H69" s="2" t="s">
        <v>11119</v>
      </c>
      <c r="I69" s="8">
        <v>1</v>
      </c>
      <c r="J69" s="2" t="s">
        <v>11120</v>
      </c>
      <c r="K69" s="2"/>
      <c r="L69" s="2" t="s">
        <v>1582</v>
      </c>
      <c r="M69" s="2" t="s">
        <v>10481</v>
      </c>
      <c r="N69" s="2" t="s">
        <v>11036</v>
      </c>
      <c r="O69" s="2"/>
      <c r="P69" s="2"/>
    </row>
    <row r="70" spans="1:17" ht="13.2" customHeight="1" x14ac:dyDescent="0.25">
      <c r="A70" s="8">
        <v>68</v>
      </c>
      <c r="B70" s="2" t="s">
        <v>11121</v>
      </c>
      <c r="C70" s="2"/>
      <c r="D70" s="2" t="s">
        <v>11122</v>
      </c>
      <c r="E70" s="2" t="s">
        <v>11123</v>
      </c>
      <c r="F70" s="2" t="s">
        <v>11124</v>
      </c>
      <c r="G70" s="2" t="s">
        <v>2827</v>
      </c>
      <c r="H70" s="2" t="s">
        <v>11125</v>
      </c>
      <c r="I70" s="8">
        <v>1</v>
      </c>
      <c r="J70" s="2" t="s">
        <v>11126</v>
      </c>
      <c r="K70" s="2"/>
      <c r="L70" s="2" t="s">
        <v>1582</v>
      </c>
      <c r="M70" s="2" t="s">
        <v>10481</v>
      </c>
      <c r="N70" s="2" t="s">
        <v>29</v>
      </c>
      <c r="O70" s="2"/>
      <c r="P70" s="2"/>
    </row>
    <row r="71" spans="1:17" ht="13.2" customHeight="1" x14ac:dyDescent="0.25">
      <c r="A71" s="8">
        <v>69</v>
      </c>
      <c r="B71" s="2" t="s">
        <v>11127</v>
      </c>
      <c r="C71" s="2"/>
      <c r="D71" s="2" t="s">
        <v>11128</v>
      </c>
      <c r="E71" s="2" t="s">
        <v>11129</v>
      </c>
      <c r="F71" s="2" t="s">
        <v>11130</v>
      </c>
      <c r="G71" s="2" t="s">
        <v>11131</v>
      </c>
      <c r="H71" s="2" t="s">
        <v>11132</v>
      </c>
      <c r="I71" s="8">
        <v>1</v>
      </c>
      <c r="J71" s="2" t="s">
        <v>11133</v>
      </c>
      <c r="K71" s="2"/>
      <c r="L71" s="2" t="s">
        <v>1582</v>
      </c>
      <c r="M71" s="2" t="s">
        <v>10484</v>
      </c>
      <c r="N71" s="2" t="s">
        <v>29</v>
      </c>
      <c r="O71" s="2"/>
      <c r="P71" s="2"/>
    </row>
    <row r="72" spans="1:17" ht="13.2" customHeight="1" x14ac:dyDescent="0.25">
      <c r="A72" s="8">
        <v>70</v>
      </c>
      <c r="B72" s="2" t="s">
        <v>11134</v>
      </c>
      <c r="C72" s="2"/>
      <c r="D72" s="2" t="s">
        <v>11135</v>
      </c>
      <c r="E72" s="2" t="s">
        <v>11136</v>
      </c>
      <c r="F72" s="2" t="s">
        <v>11137</v>
      </c>
      <c r="G72" s="2" t="s">
        <v>7412</v>
      </c>
      <c r="H72" s="2" t="s">
        <v>11138</v>
      </c>
      <c r="I72" s="8">
        <v>1</v>
      </c>
      <c r="J72" s="2" t="s">
        <v>11139</v>
      </c>
      <c r="K72" s="2"/>
      <c r="L72" s="2" t="s">
        <v>1582</v>
      </c>
      <c r="M72" s="2" t="s">
        <v>10488</v>
      </c>
      <c r="N72" s="2" t="s">
        <v>29</v>
      </c>
      <c r="O72" s="2"/>
      <c r="P72" s="2"/>
    </row>
    <row r="73" spans="1:17" ht="13.2" customHeight="1" x14ac:dyDescent="0.25">
      <c r="A73" s="8">
        <v>71</v>
      </c>
      <c r="B73" s="2" t="s">
        <v>11140</v>
      </c>
      <c r="C73" s="2"/>
      <c r="D73" s="2" t="s">
        <v>11141</v>
      </c>
      <c r="E73" s="2" t="s">
        <v>11142</v>
      </c>
      <c r="F73" s="2" t="s">
        <v>11143</v>
      </c>
      <c r="G73" s="2" t="s">
        <v>11144</v>
      </c>
      <c r="H73" s="2" t="s">
        <v>11145</v>
      </c>
      <c r="I73" s="8">
        <v>1</v>
      </c>
      <c r="J73" s="2" t="s">
        <v>11146</v>
      </c>
      <c r="K73" s="2"/>
      <c r="L73" s="2" t="s">
        <v>1582</v>
      </c>
      <c r="M73" s="2" t="s">
        <v>10491</v>
      </c>
      <c r="N73" s="2" t="s">
        <v>29</v>
      </c>
      <c r="O73" s="2"/>
      <c r="P73" s="2"/>
    </row>
    <row r="74" spans="1:17" ht="13.2" customHeight="1" x14ac:dyDescent="0.25">
      <c r="A74" s="8">
        <v>72</v>
      </c>
      <c r="B74" s="2" t="s">
        <v>11147</v>
      </c>
      <c r="C74" s="2"/>
      <c r="D74" s="2" t="s">
        <v>11148</v>
      </c>
      <c r="E74" s="2" t="s">
        <v>11149</v>
      </c>
      <c r="F74" s="2" t="s">
        <v>2344</v>
      </c>
      <c r="G74" s="2" t="s">
        <v>10859</v>
      </c>
      <c r="H74" s="2" t="s">
        <v>11150</v>
      </c>
      <c r="I74" s="8">
        <v>5</v>
      </c>
      <c r="J74" s="2" t="s">
        <v>11151</v>
      </c>
      <c r="K74" s="2"/>
      <c r="L74" s="2" t="s">
        <v>1582</v>
      </c>
      <c r="M74" s="2" t="s">
        <v>10494</v>
      </c>
      <c r="N74" s="2" t="s">
        <v>29</v>
      </c>
      <c r="O74" s="2"/>
      <c r="P74" s="2"/>
    </row>
    <row r="75" spans="1:17" ht="13.2" customHeight="1" x14ac:dyDescent="0.25">
      <c r="A75" s="8">
        <v>73</v>
      </c>
      <c r="B75" s="2" t="s">
        <v>11152</v>
      </c>
      <c r="C75" s="2"/>
      <c r="D75" s="2" t="s">
        <v>11153</v>
      </c>
      <c r="E75" s="2" t="s">
        <v>11154</v>
      </c>
      <c r="F75" s="2" t="s">
        <v>11155</v>
      </c>
      <c r="G75" s="2" t="s">
        <v>11156</v>
      </c>
      <c r="H75" s="2" t="s">
        <v>11157</v>
      </c>
      <c r="I75" s="8">
        <v>3</v>
      </c>
      <c r="J75" s="2" t="s">
        <v>11158</v>
      </c>
      <c r="K75" s="2"/>
      <c r="L75" s="2" t="s">
        <v>1582</v>
      </c>
      <c r="M75" s="2" t="s">
        <v>10497</v>
      </c>
      <c r="N75" s="2" t="s">
        <v>29</v>
      </c>
      <c r="O75" s="2"/>
      <c r="P75" s="2"/>
    </row>
    <row r="76" spans="1:17" ht="13.2" customHeight="1" x14ac:dyDescent="0.25">
      <c r="A76" s="8">
        <v>74</v>
      </c>
      <c r="B76" s="2" t="s">
        <v>11159</v>
      </c>
      <c r="C76" s="2"/>
      <c r="D76" s="2" t="s">
        <v>11160</v>
      </c>
      <c r="E76" s="2" t="s">
        <v>11161</v>
      </c>
      <c r="F76" s="2" t="s">
        <v>11162</v>
      </c>
      <c r="G76" s="2" t="s">
        <v>11163</v>
      </c>
      <c r="H76" s="2" t="s">
        <v>11164</v>
      </c>
      <c r="I76" s="8">
        <v>5</v>
      </c>
      <c r="J76" s="2" t="s">
        <v>11165</v>
      </c>
      <c r="K76" s="2"/>
      <c r="L76" s="2" t="s">
        <v>1582</v>
      </c>
      <c r="M76" s="2" t="s">
        <v>10500</v>
      </c>
      <c r="N76" s="2" t="s">
        <v>29</v>
      </c>
      <c r="O76" s="2"/>
      <c r="P76" s="2"/>
    </row>
    <row r="77" spans="1:17" ht="13.2" customHeight="1" x14ac:dyDescent="0.25">
      <c r="A77" s="8">
        <v>75</v>
      </c>
      <c r="B77" s="2" t="s">
        <v>11166</v>
      </c>
      <c r="C77" s="2"/>
      <c r="D77" s="2" t="s">
        <v>11167</v>
      </c>
      <c r="E77" s="2" t="s">
        <v>11168</v>
      </c>
      <c r="F77" s="2" t="s">
        <v>11169</v>
      </c>
      <c r="G77" s="2" t="s">
        <v>11170</v>
      </c>
      <c r="H77" s="2" t="s">
        <v>11171</v>
      </c>
      <c r="I77" s="8">
        <v>1</v>
      </c>
      <c r="J77" s="2" t="s">
        <v>11172</v>
      </c>
      <c r="K77" s="2"/>
      <c r="L77" s="2" t="s">
        <v>1582</v>
      </c>
      <c r="M77" s="2" t="s">
        <v>10504</v>
      </c>
      <c r="N77" s="2" t="s">
        <v>29</v>
      </c>
      <c r="O77" s="2"/>
      <c r="P77" s="2"/>
    </row>
    <row r="78" spans="1:17" ht="13.2" customHeight="1" x14ac:dyDescent="0.25">
      <c r="A78" s="8">
        <v>76</v>
      </c>
      <c r="B78" s="2" t="s">
        <v>11173</v>
      </c>
      <c r="C78" s="2"/>
      <c r="D78" s="2" t="s">
        <v>11174</v>
      </c>
      <c r="E78" s="2" t="s">
        <v>11175</v>
      </c>
      <c r="F78" s="2" t="s">
        <v>11176</v>
      </c>
      <c r="G78" s="2" t="s">
        <v>11177</v>
      </c>
      <c r="H78" s="2" t="s">
        <v>11178</v>
      </c>
      <c r="I78" s="8">
        <v>3</v>
      </c>
      <c r="J78" s="2" t="s">
        <v>11179</v>
      </c>
      <c r="K78" s="2"/>
      <c r="L78" s="2" t="s">
        <v>1582</v>
      </c>
      <c r="M78" s="2" t="s">
        <v>10507</v>
      </c>
      <c r="N78" s="2" t="s">
        <v>29</v>
      </c>
      <c r="O78" s="2"/>
      <c r="P78" s="2"/>
    </row>
    <row r="79" spans="1:17" ht="13.2" customHeight="1" x14ac:dyDescent="0.25">
      <c r="A79" s="8">
        <v>77</v>
      </c>
      <c r="B79" s="2" t="s">
        <v>11180</v>
      </c>
      <c r="C79" s="2"/>
      <c r="D79" s="2" t="s">
        <v>11181</v>
      </c>
      <c r="E79" s="2" t="s">
        <v>11182</v>
      </c>
      <c r="F79" s="2" t="s">
        <v>11183</v>
      </c>
      <c r="G79" s="2" t="s">
        <v>11184</v>
      </c>
      <c r="H79" s="2" t="s">
        <v>11185</v>
      </c>
      <c r="I79" s="8">
        <v>2</v>
      </c>
      <c r="J79" s="2" t="s">
        <v>11186</v>
      </c>
      <c r="K79" s="2"/>
      <c r="L79" s="2" t="s">
        <v>1582</v>
      </c>
      <c r="M79" s="2" t="s">
        <v>10510</v>
      </c>
      <c r="N79" s="2" t="s">
        <v>29</v>
      </c>
      <c r="O79" s="2"/>
      <c r="P79" s="2"/>
    </row>
    <row r="80" spans="1:17" ht="13.2" customHeight="1" x14ac:dyDescent="0.25">
      <c r="A80" s="8">
        <v>78</v>
      </c>
      <c r="B80" s="2" t="s">
        <v>11187</v>
      </c>
      <c r="C80" s="2"/>
      <c r="D80" s="2" t="s">
        <v>11188</v>
      </c>
      <c r="E80" s="2" t="s">
        <v>11189</v>
      </c>
      <c r="F80" s="2" t="s">
        <v>11190</v>
      </c>
      <c r="G80" s="2" t="s">
        <v>11191</v>
      </c>
      <c r="H80" s="2" t="s">
        <v>11192</v>
      </c>
      <c r="I80" s="8">
        <v>3</v>
      </c>
      <c r="J80" s="2" t="s">
        <v>11193</v>
      </c>
      <c r="K80" s="2"/>
      <c r="L80" s="2" t="s">
        <v>1582</v>
      </c>
      <c r="M80" s="2" t="s">
        <v>10517</v>
      </c>
      <c r="N80" s="2" t="s">
        <v>29</v>
      </c>
      <c r="O80" s="2"/>
      <c r="P80" s="2"/>
    </row>
    <row r="81" spans="1:16" ht="13.2" customHeight="1" x14ac:dyDescent="0.25">
      <c r="A81" s="8">
        <v>79</v>
      </c>
      <c r="B81" s="2" t="s">
        <v>11194</v>
      </c>
      <c r="C81" s="2"/>
      <c r="D81" s="2" t="s">
        <v>11195</v>
      </c>
      <c r="E81" s="2" t="s">
        <v>11196</v>
      </c>
      <c r="F81" s="2" t="s">
        <v>11197</v>
      </c>
      <c r="G81" s="2" t="s">
        <v>11198</v>
      </c>
      <c r="H81" s="2" t="s">
        <v>799</v>
      </c>
      <c r="I81" s="8">
        <v>1</v>
      </c>
      <c r="J81" s="2" t="s">
        <v>11199</v>
      </c>
      <c r="K81" s="2"/>
      <c r="L81" s="2" t="s">
        <v>1582</v>
      </c>
      <c r="M81" s="2" t="s">
        <v>10520</v>
      </c>
      <c r="N81" s="2" t="s">
        <v>29</v>
      </c>
      <c r="O81" s="2"/>
      <c r="P81" s="2"/>
    </row>
    <row r="82" spans="1:16" ht="13.2" customHeight="1" x14ac:dyDescent="0.25">
      <c r="A82" s="8">
        <v>80</v>
      </c>
      <c r="B82" s="2" t="s">
        <v>11200</v>
      </c>
      <c r="C82" s="2"/>
      <c r="D82" s="2" t="s">
        <v>11201</v>
      </c>
      <c r="E82" s="2" t="s">
        <v>11202</v>
      </c>
      <c r="F82" s="2" t="s">
        <v>11203</v>
      </c>
      <c r="G82" s="2" t="s">
        <v>11204</v>
      </c>
      <c r="H82" s="2" t="s">
        <v>11205</v>
      </c>
      <c r="I82" s="8">
        <v>3</v>
      </c>
      <c r="J82" s="2" t="s">
        <v>11206</v>
      </c>
      <c r="K82" s="2"/>
      <c r="L82" s="2" t="s">
        <v>11207</v>
      </c>
      <c r="M82" s="2" t="s">
        <v>29</v>
      </c>
      <c r="N82" s="2" t="s">
        <v>11208</v>
      </c>
      <c r="O82" s="2"/>
      <c r="P82" s="2"/>
    </row>
    <row r="83" spans="1:16" ht="13.2" customHeight="1" x14ac:dyDescent="0.25">
      <c r="A83" s="8">
        <v>81</v>
      </c>
      <c r="B83" s="2" t="s">
        <v>11209</v>
      </c>
      <c r="C83" s="2"/>
      <c r="D83" s="2" t="s">
        <v>11210</v>
      </c>
      <c r="E83" s="2" t="s">
        <v>11211</v>
      </c>
      <c r="F83" s="2" t="s">
        <v>11212</v>
      </c>
      <c r="G83" s="2" t="s">
        <v>11213</v>
      </c>
      <c r="H83" s="2" t="s">
        <v>11214</v>
      </c>
      <c r="I83" s="8">
        <v>2</v>
      </c>
      <c r="J83" s="2" t="s">
        <v>11215</v>
      </c>
      <c r="K83" s="2"/>
      <c r="L83" s="2" t="s">
        <v>11207</v>
      </c>
      <c r="M83" s="2" t="s">
        <v>29</v>
      </c>
      <c r="N83" s="2" t="s">
        <v>11216</v>
      </c>
      <c r="O83" s="2"/>
      <c r="P83" s="2"/>
    </row>
    <row r="84" spans="1:16" ht="13.2" customHeight="1" x14ac:dyDescent="0.25">
      <c r="A84" s="8">
        <v>82</v>
      </c>
      <c r="B84" s="2" t="s">
        <v>11217</v>
      </c>
      <c r="C84" s="2"/>
      <c r="D84" s="2" t="s">
        <v>11218</v>
      </c>
      <c r="E84" s="2" t="s">
        <v>11219</v>
      </c>
      <c r="F84" s="2" t="s">
        <v>11220</v>
      </c>
      <c r="G84" s="2" t="s">
        <v>11221</v>
      </c>
      <c r="H84" s="2" t="s">
        <v>11222</v>
      </c>
      <c r="I84" s="8">
        <v>5</v>
      </c>
      <c r="J84" s="2" t="s">
        <v>11223</v>
      </c>
      <c r="K84" s="2"/>
      <c r="L84" s="2" t="s">
        <v>11207</v>
      </c>
      <c r="M84" s="2" t="s">
        <v>29</v>
      </c>
      <c r="N84" s="2" t="s">
        <v>11224</v>
      </c>
      <c r="O84" s="2"/>
      <c r="P84" s="2"/>
    </row>
    <row r="85" spans="1:16" ht="13.2" customHeight="1" x14ac:dyDescent="0.25">
      <c r="A85" s="8">
        <v>83</v>
      </c>
      <c r="B85" s="2" t="s">
        <v>11225</v>
      </c>
      <c r="C85" s="2"/>
      <c r="D85" s="2" t="s">
        <v>11226</v>
      </c>
      <c r="E85" s="2" t="s">
        <v>11227</v>
      </c>
      <c r="F85" s="2" t="s">
        <v>11228</v>
      </c>
      <c r="G85" s="2" t="s">
        <v>11229</v>
      </c>
      <c r="H85" s="2" t="s">
        <v>11230</v>
      </c>
      <c r="I85" s="8">
        <v>1</v>
      </c>
      <c r="J85" s="2" t="s">
        <v>11231</v>
      </c>
      <c r="K85" s="2"/>
      <c r="L85" s="2" t="s">
        <v>11207</v>
      </c>
      <c r="M85" s="2" t="s">
        <v>29</v>
      </c>
      <c r="N85" s="2" t="s">
        <v>11232</v>
      </c>
      <c r="O85" s="2"/>
      <c r="P85" s="2"/>
    </row>
    <row r="86" spans="1:16" ht="13.2" customHeight="1" x14ac:dyDescent="0.25">
      <c r="A86" s="8">
        <v>84</v>
      </c>
      <c r="B86" s="2" t="s">
        <v>11233</v>
      </c>
      <c r="C86" s="2"/>
      <c r="D86" s="2" t="s">
        <v>11234</v>
      </c>
      <c r="E86" s="2" t="s">
        <v>11235</v>
      </c>
      <c r="F86" s="2" t="s">
        <v>11236</v>
      </c>
      <c r="G86" s="2" t="s">
        <v>11237</v>
      </c>
      <c r="H86" s="2" t="s">
        <v>11222</v>
      </c>
      <c r="I86" s="8">
        <v>4</v>
      </c>
      <c r="J86" s="2" t="s">
        <v>11238</v>
      </c>
      <c r="K86" s="2"/>
      <c r="L86" s="2" t="s">
        <v>11207</v>
      </c>
      <c r="M86" s="2" t="s">
        <v>29</v>
      </c>
      <c r="N86" s="2" t="s">
        <v>11239</v>
      </c>
      <c r="O86" s="2"/>
      <c r="P86" s="2"/>
    </row>
    <row r="87" spans="1:16" ht="13.2" customHeight="1" x14ac:dyDescent="0.25">
      <c r="A87" s="8">
        <v>85</v>
      </c>
      <c r="B87" s="2" t="s">
        <v>11240</v>
      </c>
      <c r="C87" s="2"/>
      <c r="D87" s="2" t="s">
        <v>11241</v>
      </c>
      <c r="E87" s="2" t="s">
        <v>11242</v>
      </c>
      <c r="F87" s="2" t="s">
        <v>11243</v>
      </c>
      <c r="G87" s="2" t="s">
        <v>11244</v>
      </c>
      <c r="H87" s="2" t="s">
        <v>11222</v>
      </c>
      <c r="I87" s="8">
        <v>3</v>
      </c>
      <c r="J87" s="2" t="s">
        <v>11245</v>
      </c>
      <c r="K87" s="2"/>
      <c r="L87" s="2" t="s">
        <v>11207</v>
      </c>
      <c r="M87" s="2" t="s">
        <v>29</v>
      </c>
      <c r="N87" s="2" t="s">
        <v>11246</v>
      </c>
      <c r="O87" s="2"/>
      <c r="P87" s="2"/>
    </row>
    <row r="88" spans="1:16" ht="13.2" customHeight="1" x14ac:dyDescent="0.25">
      <c r="A88" s="8">
        <v>86</v>
      </c>
      <c r="B88" s="2" t="s">
        <v>3709</v>
      </c>
      <c r="C88" s="2"/>
      <c r="D88" s="2" t="s">
        <v>3710</v>
      </c>
      <c r="E88" s="2" t="s">
        <v>3711</v>
      </c>
      <c r="F88" s="2" t="s">
        <v>11247</v>
      </c>
      <c r="G88" s="2" t="s">
        <v>11248</v>
      </c>
      <c r="H88" s="2" t="s">
        <v>11249</v>
      </c>
      <c r="I88" s="8">
        <v>3</v>
      </c>
      <c r="J88" s="2" t="s">
        <v>11250</v>
      </c>
      <c r="K88" s="2"/>
      <c r="L88" s="2" t="s">
        <v>11207</v>
      </c>
      <c r="M88" s="2" t="s">
        <v>29</v>
      </c>
      <c r="N88" s="2" t="s">
        <v>11251</v>
      </c>
      <c r="O88" s="2"/>
      <c r="P88" s="2"/>
    </row>
    <row r="89" spans="1:16" ht="13.2" customHeight="1" x14ac:dyDescent="0.25">
      <c r="A89" s="8">
        <v>87</v>
      </c>
      <c r="B89" s="2" t="s">
        <v>3717</v>
      </c>
      <c r="C89" s="2"/>
      <c r="D89" s="2" t="s">
        <v>3718</v>
      </c>
      <c r="E89" s="2" t="s">
        <v>3719</v>
      </c>
      <c r="F89" s="2" t="s">
        <v>3720</v>
      </c>
      <c r="G89" s="2" t="s">
        <v>11252</v>
      </c>
      <c r="H89" s="2" t="s">
        <v>3722</v>
      </c>
      <c r="I89" s="8">
        <v>3</v>
      </c>
      <c r="J89" s="2" t="s">
        <v>11253</v>
      </c>
      <c r="K89" s="2"/>
      <c r="L89" s="2" t="s">
        <v>11207</v>
      </c>
      <c r="M89" s="2" t="s">
        <v>29</v>
      </c>
      <c r="N89" s="2" t="s">
        <v>11254</v>
      </c>
      <c r="O89" s="2"/>
      <c r="P89" s="2"/>
    </row>
    <row r="90" spans="1:16" ht="13.2" customHeight="1" x14ac:dyDescent="0.25">
      <c r="A90" s="8">
        <v>88</v>
      </c>
      <c r="B90" s="2" t="s">
        <v>11255</v>
      </c>
      <c r="C90" s="2"/>
      <c r="D90" s="2" t="s">
        <v>11256</v>
      </c>
      <c r="E90" s="2" t="s">
        <v>11257</v>
      </c>
      <c r="F90" s="2" t="s">
        <v>11258</v>
      </c>
      <c r="G90" s="2" t="s">
        <v>11259</v>
      </c>
      <c r="H90" s="2" t="s">
        <v>11260</v>
      </c>
      <c r="I90" s="8">
        <v>4</v>
      </c>
      <c r="J90" s="2" t="s">
        <v>11261</v>
      </c>
      <c r="K90" s="2"/>
      <c r="L90" s="2" t="s">
        <v>11207</v>
      </c>
      <c r="M90" s="2" t="s">
        <v>29</v>
      </c>
      <c r="N90" s="2" t="s">
        <v>11262</v>
      </c>
      <c r="O90" s="2"/>
      <c r="P90" s="2"/>
    </row>
    <row r="91" spans="1:16" ht="13.2" customHeight="1" x14ac:dyDescent="0.25">
      <c r="A91" s="8">
        <v>89</v>
      </c>
      <c r="B91" s="2" t="s">
        <v>11263</v>
      </c>
      <c r="C91" s="2"/>
      <c r="D91" s="2" t="s">
        <v>11264</v>
      </c>
      <c r="E91" s="2" t="s">
        <v>11265</v>
      </c>
      <c r="F91" s="2" t="s">
        <v>11266</v>
      </c>
      <c r="G91" s="2" t="s">
        <v>11267</v>
      </c>
      <c r="H91" s="2" t="s">
        <v>11268</v>
      </c>
      <c r="I91" s="8">
        <v>5</v>
      </c>
      <c r="J91" s="2" t="s">
        <v>11269</v>
      </c>
      <c r="K91" s="2"/>
      <c r="L91" s="2" t="s">
        <v>11207</v>
      </c>
      <c r="M91" s="2" t="s">
        <v>29</v>
      </c>
      <c r="N91" s="2" t="s">
        <v>11270</v>
      </c>
      <c r="O91" s="2"/>
      <c r="P91" s="2"/>
    </row>
    <row r="92" spans="1:16" ht="13.2" customHeight="1" x14ac:dyDescent="0.25">
      <c r="A92" s="8">
        <v>90</v>
      </c>
      <c r="B92" s="2" t="s">
        <v>11271</v>
      </c>
      <c r="C92" s="2"/>
      <c r="D92" s="2" t="s">
        <v>6953</v>
      </c>
      <c r="E92" s="2" t="s">
        <v>1889</v>
      </c>
      <c r="F92" s="2" t="s">
        <v>1890</v>
      </c>
      <c r="G92" s="2" t="s">
        <v>11272</v>
      </c>
      <c r="H92" s="2" t="s">
        <v>190</v>
      </c>
      <c r="I92" s="8">
        <v>1</v>
      </c>
      <c r="J92" s="2" t="s">
        <v>11273</v>
      </c>
      <c r="K92" s="2"/>
      <c r="L92" s="2" t="s">
        <v>11207</v>
      </c>
      <c r="M92" s="2" t="s">
        <v>29</v>
      </c>
      <c r="N92" s="2" t="s">
        <v>11274</v>
      </c>
      <c r="O92" s="2"/>
      <c r="P92" s="2"/>
    </row>
    <row r="93" spans="1:16" ht="13.2" customHeight="1" x14ac:dyDescent="0.25">
      <c r="A93" s="8">
        <v>91</v>
      </c>
      <c r="B93" s="2" t="s">
        <v>11275</v>
      </c>
      <c r="C93" s="2"/>
      <c r="D93" s="2" t="s">
        <v>11276</v>
      </c>
      <c r="E93" s="2" t="s">
        <v>11277</v>
      </c>
      <c r="F93" s="2" t="s">
        <v>11278</v>
      </c>
      <c r="G93" s="2" t="s">
        <v>7411</v>
      </c>
      <c r="H93" s="2" t="s">
        <v>11279</v>
      </c>
      <c r="I93" s="8">
        <v>3</v>
      </c>
      <c r="J93" s="2" t="s">
        <v>11280</v>
      </c>
      <c r="K93" s="2"/>
      <c r="L93" s="2" t="s">
        <v>11207</v>
      </c>
      <c r="M93" s="2" t="s">
        <v>29</v>
      </c>
      <c r="N93" s="2" t="s">
        <v>11281</v>
      </c>
      <c r="O93" s="2"/>
      <c r="P93" s="2"/>
    </row>
    <row r="94" spans="1:16" ht="13.2" customHeight="1" x14ac:dyDescent="0.25">
      <c r="A94" s="8">
        <v>92</v>
      </c>
      <c r="B94" s="2" t="s">
        <v>11282</v>
      </c>
      <c r="C94" s="2"/>
      <c r="D94" s="2" t="s">
        <v>11283</v>
      </c>
      <c r="E94" s="2" t="s">
        <v>11284</v>
      </c>
      <c r="F94" s="2" t="s">
        <v>11285</v>
      </c>
      <c r="G94" s="2" t="s">
        <v>11286</v>
      </c>
      <c r="H94" s="2" t="s">
        <v>11287</v>
      </c>
      <c r="I94" s="8">
        <v>5</v>
      </c>
      <c r="J94" s="2" t="s">
        <v>11288</v>
      </c>
      <c r="K94" s="2"/>
      <c r="L94" s="2" t="s">
        <v>11207</v>
      </c>
      <c r="M94" s="2" t="s">
        <v>29</v>
      </c>
      <c r="N94" s="2" t="s">
        <v>11289</v>
      </c>
      <c r="O94" s="2"/>
      <c r="P94" s="2"/>
    </row>
    <row r="95" spans="1:16" ht="13.2" customHeight="1" x14ac:dyDescent="0.25">
      <c r="A95" s="8">
        <v>93</v>
      </c>
      <c r="B95" s="2" t="s">
        <v>11290</v>
      </c>
      <c r="C95" s="2"/>
      <c r="D95" s="2" t="s">
        <v>11291</v>
      </c>
      <c r="E95" s="2" t="s">
        <v>11292</v>
      </c>
      <c r="F95" s="2" t="s">
        <v>11293</v>
      </c>
      <c r="G95" s="2" t="s">
        <v>11294</v>
      </c>
      <c r="H95" s="2" t="s">
        <v>11295</v>
      </c>
      <c r="I95" s="8">
        <v>2</v>
      </c>
      <c r="J95" s="2" t="s">
        <v>11296</v>
      </c>
      <c r="K95" s="2"/>
      <c r="L95" s="2" t="s">
        <v>11207</v>
      </c>
      <c r="M95" s="2" t="s">
        <v>29</v>
      </c>
      <c r="N95" s="2" t="s">
        <v>11297</v>
      </c>
      <c r="O95" s="2"/>
      <c r="P95" s="2"/>
    </row>
    <row r="96" spans="1:16" ht="13.2" customHeight="1" x14ac:dyDescent="0.25">
      <c r="A96" s="8">
        <v>94</v>
      </c>
      <c r="B96" s="2" t="s">
        <v>11298</v>
      </c>
      <c r="C96" s="2"/>
      <c r="D96" s="2" t="s">
        <v>11299</v>
      </c>
      <c r="E96" s="2" t="s">
        <v>11300</v>
      </c>
      <c r="F96" s="2" t="s">
        <v>11301</v>
      </c>
      <c r="G96" s="2" t="s">
        <v>11302</v>
      </c>
      <c r="H96" s="2" t="s">
        <v>11303</v>
      </c>
      <c r="I96" s="8">
        <v>4</v>
      </c>
      <c r="J96" s="2" t="s">
        <v>11304</v>
      </c>
      <c r="K96" s="2"/>
      <c r="L96" s="2" t="s">
        <v>11207</v>
      </c>
      <c r="M96" s="2" t="s">
        <v>29</v>
      </c>
      <c r="N96" s="2" t="s">
        <v>11305</v>
      </c>
      <c r="O96" s="2"/>
      <c r="P96" s="2"/>
    </row>
    <row r="97" spans="1:16" ht="13.2" customHeight="1" x14ac:dyDescent="0.25">
      <c r="A97" s="8">
        <v>95</v>
      </c>
      <c r="B97" s="2" t="s">
        <v>11306</v>
      </c>
      <c r="C97" s="2"/>
      <c r="D97" s="2" t="s">
        <v>11307</v>
      </c>
      <c r="E97" s="2" t="s">
        <v>11308</v>
      </c>
      <c r="F97" s="2" t="s">
        <v>11309</v>
      </c>
      <c r="G97" s="2" t="s">
        <v>11310</v>
      </c>
      <c r="H97" s="2" t="s">
        <v>11311</v>
      </c>
      <c r="I97" s="8">
        <v>2</v>
      </c>
      <c r="J97" s="2" t="s">
        <v>11312</v>
      </c>
      <c r="K97" s="2"/>
      <c r="L97" s="2" t="s">
        <v>11207</v>
      </c>
      <c r="M97" s="2" t="s">
        <v>29</v>
      </c>
      <c r="N97" s="2" t="s">
        <v>11313</v>
      </c>
      <c r="O97" s="2"/>
      <c r="P97" s="2"/>
    </row>
    <row r="98" spans="1:16" ht="13.2" customHeight="1" x14ac:dyDescent="0.25">
      <c r="A98" s="8">
        <v>96</v>
      </c>
      <c r="B98" s="2" t="s">
        <v>11314</v>
      </c>
      <c r="C98" s="2"/>
      <c r="D98" s="2" t="s">
        <v>11315</v>
      </c>
      <c r="E98" s="2" t="s">
        <v>11316</v>
      </c>
      <c r="F98" s="2" t="s">
        <v>11317</v>
      </c>
      <c r="G98" s="2" t="s">
        <v>11318</v>
      </c>
      <c r="H98" s="2" t="s">
        <v>11319</v>
      </c>
      <c r="I98" s="8">
        <v>2</v>
      </c>
      <c r="J98" s="2" t="s">
        <v>11320</v>
      </c>
      <c r="K98" s="2"/>
      <c r="L98" s="2" t="s">
        <v>11207</v>
      </c>
      <c r="M98" s="2" t="s">
        <v>29</v>
      </c>
      <c r="N98" s="2" t="s">
        <v>11321</v>
      </c>
      <c r="O98" s="2"/>
      <c r="P98" s="2"/>
    </row>
    <row r="99" spans="1:16" ht="13.2" customHeight="1" x14ac:dyDescent="0.25">
      <c r="A99" s="8">
        <v>97</v>
      </c>
      <c r="B99" s="2" t="s">
        <v>11322</v>
      </c>
      <c r="C99" s="2"/>
      <c r="D99" s="2" t="s">
        <v>11323</v>
      </c>
      <c r="E99" s="2" t="s">
        <v>11324</v>
      </c>
      <c r="F99" s="2" t="s">
        <v>11325</v>
      </c>
      <c r="G99" s="2" t="s">
        <v>11326</v>
      </c>
      <c r="H99" s="2" t="s">
        <v>11327</v>
      </c>
      <c r="I99" s="8">
        <v>4</v>
      </c>
      <c r="J99" s="2" t="s">
        <v>11328</v>
      </c>
      <c r="K99" s="2"/>
      <c r="L99" s="2" t="s">
        <v>11207</v>
      </c>
      <c r="M99" s="2" t="s">
        <v>29</v>
      </c>
      <c r="N99" s="2" t="s">
        <v>11329</v>
      </c>
      <c r="O99" s="2"/>
      <c r="P99" s="2"/>
    </row>
    <row r="100" spans="1:16" ht="13.2" customHeight="1" x14ac:dyDescent="0.25">
      <c r="A100" s="8">
        <v>98</v>
      </c>
      <c r="B100" s="2" t="s">
        <v>11330</v>
      </c>
      <c r="C100" s="2"/>
      <c r="D100" s="2" t="s">
        <v>11276</v>
      </c>
      <c r="E100" s="2" t="s">
        <v>11331</v>
      </c>
      <c r="F100" s="2" t="s">
        <v>11332</v>
      </c>
      <c r="G100" s="2" t="s">
        <v>11333</v>
      </c>
      <c r="H100" s="2" t="s">
        <v>11334</v>
      </c>
      <c r="I100" s="8">
        <v>5</v>
      </c>
      <c r="J100" s="2" t="s">
        <v>11335</v>
      </c>
      <c r="K100" s="2"/>
      <c r="L100" s="2" t="s">
        <v>11207</v>
      </c>
      <c r="M100" s="2" t="s">
        <v>29</v>
      </c>
      <c r="N100" s="2" t="s">
        <v>11336</v>
      </c>
      <c r="O100" s="2"/>
      <c r="P100" s="2"/>
    </row>
    <row r="101" spans="1:16" ht="13.2" customHeight="1" x14ac:dyDescent="0.25">
      <c r="A101" s="8">
        <v>99</v>
      </c>
      <c r="B101" s="2" t="s">
        <v>11337</v>
      </c>
      <c r="C101" s="2"/>
      <c r="D101" s="2" t="s">
        <v>11338</v>
      </c>
      <c r="E101" s="2" t="s">
        <v>11339</v>
      </c>
      <c r="F101" s="2" t="s">
        <v>11340</v>
      </c>
      <c r="G101" s="2" t="s">
        <v>11341</v>
      </c>
      <c r="H101" s="2" t="s">
        <v>11342</v>
      </c>
      <c r="I101" s="8">
        <v>2</v>
      </c>
      <c r="J101" s="2" t="s">
        <v>11343</v>
      </c>
      <c r="K101" s="2"/>
      <c r="L101" s="2" t="s">
        <v>11207</v>
      </c>
      <c r="M101" s="2" t="s">
        <v>29</v>
      </c>
      <c r="N101" s="2" t="s">
        <v>11344</v>
      </c>
      <c r="O101" s="2"/>
      <c r="P101" s="2"/>
    </row>
    <row r="102" spans="1:16" ht="13.2" customHeight="1" x14ac:dyDescent="0.25">
      <c r="A102" s="8">
        <v>100</v>
      </c>
      <c r="B102" s="2" t="s">
        <v>11345</v>
      </c>
      <c r="C102" s="2"/>
      <c r="D102" s="2" t="s">
        <v>11346</v>
      </c>
      <c r="E102" s="2" t="s">
        <v>11347</v>
      </c>
      <c r="F102" s="2" t="s">
        <v>11348</v>
      </c>
      <c r="G102" s="2" t="s">
        <v>11349</v>
      </c>
      <c r="H102" s="2" t="s">
        <v>11350</v>
      </c>
      <c r="I102" s="8">
        <v>2</v>
      </c>
      <c r="J102" s="2" t="s">
        <v>11351</v>
      </c>
      <c r="K102" s="2"/>
      <c r="L102" s="2" t="s">
        <v>11207</v>
      </c>
      <c r="M102" s="2" t="s">
        <v>29</v>
      </c>
      <c r="N102" s="2" t="s">
        <v>11352</v>
      </c>
      <c r="O102" s="2"/>
      <c r="P102" s="2"/>
    </row>
    <row r="103" spans="1:16" ht="13.2" customHeight="1" x14ac:dyDescent="0.25">
      <c r="A103" s="8">
        <v>101</v>
      </c>
      <c r="B103" s="2" t="s">
        <v>11353</v>
      </c>
      <c r="C103" s="2"/>
      <c r="D103" s="2" t="s">
        <v>11354</v>
      </c>
      <c r="E103" s="2" t="s">
        <v>11355</v>
      </c>
      <c r="F103" s="2" t="s">
        <v>11356</v>
      </c>
      <c r="G103" s="2" t="s">
        <v>11357</v>
      </c>
      <c r="H103" s="2" t="s">
        <v>11358</v>
      </c>
      <c r="I103" s="8">
        <v>3</v>
      </c>
      <c r="J103" s="2" t="s">
        <v>11359</v>
      </c>
      <c r="K103" s="2"/>
      <c r="L103" s="2" t="s">
        <v>11207</v>
      </c>
      <c r="M103" s="2" t="s">
        <v>29</v>
      </c>
      <c r="N103" s="2" t="s">
        <v>11360</v>
      </c>
      <c r="O103" s="2"/>
      <c r="P103" s="2"/>
    </row>
    <row r="104" spans="1:16" ht="13.2" customHeight="1" x14ac:dyDescent="0.25">
      <c r="A104" s="8">
        <v>102</v>
      </c>
      <c r="B104" s="2" t="s">
        <v>11361</v>
      </c>
      <c r="C104" s="2"/>
      <c r="D104" s="2" t="s">
        <v>11362</v>
      </c>
      <c r="E104" s="2" t="s">
        <v>11363</v>
      </c>
      <c r="F104" s="2" t="s">
        <v>11364</v>
      </c>
      <c r="G104" s="2" t="s">
        <v>11365</v>
      </c>
      <c r="H104" s="2" t="s">
        <v>11366</v>
      </c>
      <c r="I104" s="8">
        <v>1</v>
      </c>
      <c r="J104" s="2" t="s">
        <v>11367</v>
      </c>
      <c r="K104" s="2"/>
      <c r="L104" s="2" t="s">
        <v>11207</v>
      </c>
      <c r="M104" s="2" t="s">
        <v>29</v>
      </c>
      <c r="N104" s="2" t="s">
        <v>11368</v>
      </c>
      <c r="O104" s="2"/>
      <c r="P104" s="2"/>
    </row>
    <row r="105" spans="1:16" ht="13.2" customHeight="1" x14ac:dyDescent="0.25">
      <c r="A105" s="8">
        <v>103</v>
      </c>
      <c r="B105" s="2" t="s">
        <v>11369</v>
      </c>
      <c r="C105" s="2"/>
      <c r="D105" s="2" t="s">
        <v>11370</v>
      </c>
      <c r="E105" s="2" t="s">
        <v>11371</v>
      </c>
      <c r="F105" s="2" t="s">
        <v>11372</v>
      </c>
      <c r="G105" s="2" t="s">
        <v>11373</v>
      </c>
      <c r="H105" s="2" t="s">
        <v>11374</v>
      </c>
      <c r="I105" s="8">
        <v>4</v>
      </c>
      <c r="J105" s="2" t="s">
        <v>11375</v>
      </c>
      <c r="K105" s="2"/>
      <c r="L105" s="2" t="s">
        <v>11207</v>
      </c>
      <c r="M105" s="2" t="s">
        <v>29</v>
      </c>
      <c r="N105" s="2" t="s">
        <v>11376</v>
      </c>
      <c r="O105" s="2"/>
      <c r="P105" s="2"/>
    </row>
    <row r="106" spans="1:16" ht="13.2" customHeight="1" x14ac:dyDescent="0.25">
      <c r="A106" s="8">
        <v>104</v>
      </c>
      <c r="B106" s="2" t="s">
        <v>11377</v>
      </c>
      <c r="C106" s="2"/>
      <c r="D106" s="2" t="s">
        <v>11378</v>
      </c>
      <c r="E106" s="2" t="s">
        <v>11379</v>
      </c>
      <c r="F106" s="2" t="s">
        <v>11380</v>
      </c>
      <c r="G106" s="2" t="s">
        <v>11381</v>
      </c>
      <c r="H106" s="2" t="s">
        <v>11382</v>
      </c>
      <c r="I106" s="8">
        <v>1</v>
      </c>
      <c r="J106" s="2" t="s">
        <v>11383</v>
      </c>
      <c r="K106" s="2"/>
      <c r="L106" s="2" t="s">
        <v>11207</v>
      </c>
      <c r="M106" s="2" t="s">
        <v>29</v>
      </c>
      <c r="N106" s="2" t="s">
        <v>11376</v>
      </c>
      <c r="O106" s="2"/>
      <c r="P106" s="2"/>
    </row>
    <row r="107" spans="1:16" ht="13.2" customHeight="1" x14ac:dyDescent="0.25">
      <c r="A107" s="8">
        <v>105</v>
      </c>
      <c r="B107" s="2" t="s">
        <v>11384</v>
      </c>
      <c r="C107" s="2"/>
      <c r="D107" s="2" t="s">
        <v>11385</v>
      </c>
      <c r="E107" s="2" t="s">
        <v>11386</v>
      </c>
      <c r="F107" s="2" t="s">
        <v>11387</v>
      </c>
      <c r="G107" s="2" t="s">
        <v>11388</v>
      </c>
      <c r="H107" s="2" t="s">
        <v>11389</v>
      </c>
      <c r="I107" s="8">
        <v>5</v>
      </c>
      <c r="J107" s="2" t="s">
        <v>11390</v>
      </c>
      <c r="K107" s="2"/>
      <c r="L107" s="2" t="s">
        <v>11207</v>
      </c>
      <c r="M107" s="2" t="s">
        <v>29</v>
      </c>
      <c r="N107" s="2" t="s">
        <v>11376</v>
      </c>
      <c r="O107" s="2"/>
      <c r="P107" s="2"/>
    </row>
    <row r="108" spans="1:16" ht="13.2" customHeight="1" x14ac:dyDescent="0.25">
      <c r="A108" s="8">
        <v>106</v>
      </c>
      <c r="B108" s="2" t="s">
        <v>11391</v>
      </c>
      <c r="C108" s="2"/>
      <c r="D108" s="2" t="s">
        <v>11392</v>
      </c>
      <c r="E108" s="2" t="s">
        <v>11393</v>
      </c>
      <c r="F108" s="2" t="s">
        <v>11394</v>
      </c>
      <c r="G108" s="2" t="s">
        <v>11395</v>
      </c>
      <c r="H108" s="2" t="s">
        <v>11396</v>
      </c>
      <c r="I108" s="8">
        <v>4</v>
      </c>
      <c r="J108" s="2" t="s">
        <v>11397</v>
      </c>
      <c r="K108" s="2"/>
      <c r="L108" s="2" t="s">
        <v>11207</v>
      </c>
      <c r="M108" s="2" t="s">
        <v>29</v>
      </c>
      <c r="N108" s="2" t="s">
        <v>11376</v>
      </c>
      <c r="O108" s="2"/>
      <c r="P108" s="2"/>
    </row>
    <row r="109" spans="1:16" ht="13.2" customHeight="1" x14ac:dyDescent="0.25">
      <c r="A109" s="8">
        <v>107</v>
      </c>
      <c r="B109" s="2" t="s">
        <v>11398</v>
      </c>
      <c r="C109" s="2"/>
      <c r="D109" s="2" t="s">
        <v>11399</v>
      </c>
      <c r="E109" s="2" t="s">
        <v>11400</v>
      </c>
      <c r="F109" s="2" t="s">
        <v>11401</v>
      </c>
      <c r="G109" s="2" t="s">
        <v>11402</v>
      </c>
      <c r="H109" s="2" t="s">
        <v>11403</v>
      </c>
      <c r="I109" s="8">
        <v>2</v>
      </c>
      <c r="J109" s="2" t="s">
        <v>11404</v>
      </c>
      <c r="K109" s="2"/>
      <c r="L109" s="2" t="s">
        <v>11207</v>
      </c>
      <c r="M109" s="2" t="s">
        <v>29</v>
      </c>
      <c r="N109" s="2" t="s">
        <v>11376</v>
      </c>
      <c r="O109" s="2"/>
      <c r="P109" s="2"/>
    </row>
    <row r="110" spans="1:16" ht="13.2" customHeight="1" x14ac:dyDescent="0.25">
      <c r="A110">
        <v>108</v>
      </c>
      <c r="B110" t="s">
        <v>11405</v>
      </c>
      <c r="D110" t="s">
        <v>11406</v>
      </c>
      <c r="E110" t="s">
        <v>11407</v>
      </c>
      <c r="F110" t="s">
        <v>11408</v>
      </c>
      <c r="G110" t="s">
        <v>11409</v>
      </c>
      <c r="H110" t="s">
        <v>11410</v>
      </c>
      <c r="I110" t="s">
        <v>84</v>
      </c>
      <c r="J110" t="s">
        <v>11411</v>
      </c>
      <c r="L110" t="s">
        <v>1645</v>
      </c>
      <c r="M110" t="s">
        <v>29</v>
      </c>
      <c r="N110" t="s">
        <v>11412</v>
      </c>
    </row>
    <row r="111" spans="1:16" ht="13.2" customHeight="1" x14ac:dyDescent="0.25">
      <c r="A111">
        <v>109</v>
      </c>
      <c r="B111" t="s">
        <v>11413</v>
      </c>
      <c r="D111" t="s">
        <v>8950</v>
      </c>
      <c r="E111" t="s">
        <v>3010</v>
      </c>
      <c r="F111" t="s">
        <v>4044</v>
      </c>
      <c r="G111" t="s">
        <v>8949</v>
      </c>
      <c r="H111" t="s">
        <v>8948</v>
      </c>
      <c r="I111" t="s">
        <v>84</v>
      </c>
      <c r="J111" t="s">
        <v>11414</v>
      </c>
      <c r="L111" t="s">
        <v>1645</v>
      </c>
      <c r="M111" t="s">
        <v>29</v>
      </c>
      <c r="N111" t="s">
        <v>11415</v>
      </c>
    </row>
    <row r="112" spans="1:16" ht="13.2" customHeight="1" x14ac:dyDescent="0.25">
      <c r="A112">
        <v>110</v>
      </c>
      <c r="B112" t="s">
        <v>11416</v>
      </c>
      <c r="D112" t="s">
        <v>11417</v>
      </c>
      <c r="E112" t="s">
        <v>11418</v>
      </c>
      <c r="F112" t="s">
        <v>11419</v>
      </c>
      <c r="G112" t="s">
        <v>11420</v>
      </c>
      <c r="H112" t="s">
        <v>11421</v>
      </c>
      <c r="I112" t="s">
        <v>84</v>
      </c>
      <c r="J112" t="s">
        <v>11422</v>
      </c>
      <c r="L112" t="s">
        <v>1645</v>
      </c>
      <c r="M112" t="s">
        <v>29</v>
      </c>
      <c r="N112" t="s">
        <v>11423</v>
      </c>
    </row>
    <row r="113" spans="1:14" ht="13.2" customHeight="1" x14ac:dyDescent="0.25">
      <c r="A113">
        <v>111</v>
      </c>
      <c r="B113" t="s">
        <v>11424</v>
      </c>
      <c r="D113" t="s">
        <v>11425</v>
      </c>
      <c r="E113" t="s">
        <v>2276</v>
      </c>
      <c r="F113" t="s">
        <v>11426</v>
      </c>
      <c r="G113" t="s">
        <v>6987</v>
      </c>
      <c r="H113" t="s">
        <v>2261</v>
      </c>
      <c r="I113" t="s">
        <v>84</v>
      </c>
      <c r="J113" t="s">
        <v>11427</v>
      </c>
      <c r="L113" t="s">
        <v>1645</v>
      </c>
      <c r="M113" t="s">
        <v>29</v>
      </c>
      <c r="N113" t="s">
        <v>1669</v>
      </c>
    </row>
    <row r="114" spans="1:14" ht="13.2" customHeight="1" x14ac:dyDescent="0.25"/>
    <row r="115" spans="1:14" ht="13.2" customHeight="1" x14ac:dyDescent="0.25"/>
    <row r="116" spans="1:14" ht="13.2" customHeight="1" x14ac:dyDescent="0.25"/>
    <row r="117" spans="1:14" ht="13.2" customHeight="1" x14ac:dyDescent="0.25"/>
    <row r="118" spans="1:14" ht="13.2" customHeight="1" x14ac:dyDescent="0.25"/>
    <row r="119" spans="1:14" ht="13.2" customHeight="1" x14ac:dyDescent="0.25"/>
    <row r="120" spans="1:14" ht="13.2" customHeight="1" x14ac:dyDescent="0.25"/>
    <row r="121" spans="1:14" ht="13.2" customHeight="1" x14ac:dyDescent="0.25"/>
    <row r="122" spans="1:14" ht="13.2" customHeight="1" x14ac:dyDescent="0.25"/>
    <row r="123" spans="1:14" ht="13.2" customHeight="1" x14ac:dyDescent="0.25"/>
    <row r="124" spans="1:14" ht="13.2" customHeight="1" x14ac:dyDescent="0.25"/>
    <row r="125" spans="1:14" ht="13.2" customHeight="1" x14ac:dyDescent="0.25"/>
    <row r="126" spans="1:14" ht="13.2" customHeight="1" x14ac:dyDescent="0.25"/>
    <row r="127" spans="1:14" ht="13.2" customHeight="1" x14ac:dyDescent="0.25"/>
    <row r="128" spans="1:14" ht="13.2" customHeight="1" x14ac:dyDescent="0.25"/>
    <row r="129" ht="13.2" customHeight="1" x14ac:dyDescent="0.25"/>
    <row r="130" ht="13.2" customHeight="1" x14ac:dyDescent="0.25"/>
  </sheetData>
  <mergeCells count="1">
    <mergeCell ref="A1:F1"/>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Q160"/>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8" t="s">
        <v>84</v>
      </c>
      <c r="B3" s="2" t="s">
        <v>11428</v>
      </c>
      <c r="C3" s="2"/>
      <c r="D3" s="2" t="s">
        <v>11429</v>
      </c>
      <c r="E3" s="2" t="s">
        <v>6887</v>
      </c>
      <c r="F3" s="2" t="s">
        <v>11430</v>
      </c>
      <c r="G3" s="2" t="s">
        <v>11431</v>
      </c>
      <c r="H3" s="2" t="s">
        <v>11432</v>
      </c>
      <c r="I3" s="8">
        <v>1</v>
      </c>
      <c r="J3" s="2" t="s">
        <v>11433</v>
      </c>
      <c r="K3" s="2"/>
      <c r="L3" s="2" t="s">
        <v>11434</v>
      </c>
      <c r="M3" s="2" t="s">
        <v>29</v>
      </c>
      <c r="N3" s="2" t="s">
        <v>11435</v>
      </c>
      <c r="O3" s="2"/>
      <c r="P3" s="2"/>
    </row>
    <row r="4" spans="1:16" ht="13.2" customHeight="1" x14ac:dyDescent="0.25">
      <c r="A4" s="8" t="s">
        <v>96</v>
      </c>
      <c r="B4" s="2" t="s">
        <v>11436</v>
      </c>
      <c r="C4" s="2"/>
      <c r="D4" s="2" t="s">
        <v>11437</v>
      </c>
      <c r="E4" s="2" t="s">
        <v>11438</v>
      </c>
      <c r="F4" s="2" t="s">
        <v>11439</v>
      </c>
      <c r="G4" s="2" t="s">
        <v>11440</v>
      </c>
      <c r="H4" s="2" t="s">
        <v>11441</v>
      </c>
      <c r="I4" s="8">
        <v>4</v>
      </c>
      <c r="J4" s="2" t="s">
        <v>11442</v>
      </c>
      <c r="K4" s="2"/>
      <c r="L4" s="2" t="s">
        <v>11434</v>
      </c>
      <c r="M4" s="2" t="s">
        <v>29</v>
      </c>
      <c r="N4" s="2" t="s">
        <v>11443</v>
      </c>
      <c r="O4" s="2"/>
      <c r="P4" s="2"/>
    </row>
    <row r="5" spans="1:16" ht="13.2" customHeight="1" x14ac:dyDescent="0.25">
      <c r="A5" s="8" t="s">
        <v>90</v>
      </c>
      <c r="B5" s="2" t="s">
        <v>11444</v>
      </c>
      <c r="C5" s="2"/>
      <c r="D5" s="2" t="s">
        <v>11445</v>
      </c>
      <c r="E5" s="2" t="s">
        <v>11446</v>
      </c>
      <c r="F5" s="2" t="s">
        <v>11447</v>
      </c>
      <c r="G5" s="2" t="s">
        <v>11448</v>
      </c>
      <c r="H5" s="2" t="s">
        <v>11449</v>
      </c>
      <c r="I5" s="8">
        <v>5</v>
      </c>
      <c r="J5" s="2" t="s">
        <v>11450</v>
      </c>
      <c r="K5" s="2"/>
      <c r="L5" s="2" t="s">
        <v>11434</v>
      </c>
      <c r="M5" s="2" t="s">
        <v>29</v>
      </c>
      <c r="N5" s="2" t="s">
        <v>2735</v>
      </c>
      <c r="O5" s="2"/>
      <c r="P5" s="2"/>
    </row>
    <row r="6" spans="1:16" ht="13.2" customHeight="1" x14ac:dyDescent="0.25">
      <c r="A6" s="8" t="s">
        <v>113</v>
      </c>
      <c r="B6" s="2" t="s">
        <v>11451</v>
      </c>
      <c r="C6" s="2"/>
      <c r="D6" s="2" t="s">
        <v>11452</v>
      </c>
      <c r="E6" s="2" t="s">
        <v>11453</v>
      </c>
      <c r="F6" s="2" t="s">
        <v>11454</v>
      </c>
      <c r="G6" s="2" t="s">
        <v>11455</v>
      </c>
      <c r="H6" s="2" t="s">
        <v>11456</v>
      </c>
      <c r="I6" s="8">
        <v>3</v>
      </c>
      <c r="J6" s="2" t="s">
        <v>11457</v>
      </c>
      <c r="K6" s="2"/>
      <c r="L6" s="2" t="s">
        <v>11434</v>
      </c>
      <c r="M6" s="2" t="s">
        <v>29</v>
      </c>
      <c r="N6" s="2" t="s">
        <v>2743</v>
      </c>
      <c r="O6" s="2"/>
      <c r="P6" s="2"/>
    </row>
    <row r="7" spans="1:16" ht="13.2" customHeight="1" x14ac:dyDescent="0.25">
      <c r="A7" s="8" t="s">
        <v>123</v>
      </c>
      <c r="B7" s="2" t="s">
        <v>11458</v>
      </c>
      <c r="C7" s="2"/>
      <c r="D7" s="2" t="s">
        <v>11459</v>
      </c>
      <c r="E7" s="2" t="s">
        <v>11460</v>
      </c>
      <c r="F7" s="2" t="s">
        <v>11461</v>
      </c>
      <c r="G7" s="2" t="s">
        <v>11462</v>
      </c>
      <c r="H7" s="2" t="s">
        <v>11463</v>
      </c>
      <c r="I7" s="8">
        <v>1</v>
      </c>
      <c r="J7" s="2" t="s">
        <v>11464</v>
      </c>
      <c r="K7" s="2"/>
      <c r="L7" s="2" t="s">
        <v>11434</v>
      </c>
      <c r="M7" s="2" t="s">
        <v>29</v>
      </c>
      <c r="N7" s="2" t="s">
        <v>691</v>
      </c>
      <c r="O7" s="2"/>
      <c r="P7" s="2"/>
    </row>
    <row r="8" spans="1:16" ht="13.2" customHeight="1" x14ac:dyDescent="0.25">
      <c r="A8" s="8" t="s">
        <v>132</v>
      </c>
      <c r="B8" s="2" t="s">
        <v>11465</v>
      </c>
      <c r="C8" s="2"/>
      <c r="D8" s="2" t="s">
        <v>11466</v>
      </c>
      <c r="E8" s="2" t="s">
        <v>11467</v>
      </c>
      <c r="F8" s="2" t="s">
        <v>11468</v>
      </c>
      <c r="G8" s="2" t="s">
        <v>11469</v>
      </c>
      <c r="H8" s="2" t="s">
        <v>11470</v>
      </c>
      <c r="I8" s="8">
        <v>1</v>
      </c>
      <c r="J8" s="2" t="s">
        <v>11471</v>
      </c>
      <c r="K8" s="2"/>
      <c r="L8" s="2" t="s">
        <v>11434</v>
      </c>
      <c r="M8" s="2" t="s">
        <v>29</v>
      </c>
      <c r="N8" s="2" t="s">
        <v>11472</v>
      </c>
      <c r="O8" s="2"/>
      <c r="P8" s="2"/>
    </row>
    <row r="9" spans="1:16" ht="13.2" customHeight="1" x14ac:dyDescent="0.25">
      <c r="A9" s="8" t="s">
        <v>10084</v>
      </c>
      <c r="B9" s="2" t="s">
        <v>11473</v>
      </c>
      <c r="C9" s="2"/>
      <c r="D9" s="2" t="s">
        <v>11474</v>
      </c>
      <c r="E9" s="2" t="s">
        <v>11475</v>
      </c>
      <c r="F9" s="2" t="s">
        <v>11476</v>
      </c>
      <c r="G9" s="2" t="s">
        <v>11477</v>
      </c>
      <c r="H9" s="2" t="s">
        <v>11478</v>
      </c>
      <c r="I9" s="8">
        <v>3</v>
      </c>
      <c r="J9" s="2" t="s">
        <v>11479</v>
      </c>
      <c r="K9" s="2"/>
      <c r="L9" s="2" t="s">
        <v>11434</v>
      </c>
      <c r="M9" s="2" t="s">
        <v>29</v>
      </c>
      <c r="N9" s="2" t="s">
        <v>11480</v>
      </c>
      <c r="O9" s="2"/>
      <c r="P9" s="2"/>
    </row>
    <row r="10" spans="1:16" ht="13.2" customHeight="1" x14ac:dyDescent="0.25">
      <c r="A10" s="8" t="s">
        <v>10093</v>
      </c>
      <c r="B10" s="2" t="s">
        <v>11481</v>
      </c>
      <c r="C10" s="2"/>
      <c r="D10" s="2" t="s">
        <v>11482</v>
      </c>
      <c r="E10" s="2" t="s">
        <v>11483</v>
      </c>
      <c r="F10" s="2" t="s">
        <v>11484</v>
      </c>
      <c r="G10" s="2" t="s">
        <v>11485</v>
      </c>
      <c r="H10" s="2" t="s">
        <v>11486</v>
      </c>
      <c r="I10" s="8">
        <v>2</v>
      </c>
      <c r="J10" s="2" t="s">
        <v>11487</v>
      </c>
      <c r="K10" s="2"/>
      <c r="L10" s="2" t="s">
        <v>11434</v>
      </c>
      <c r="M10" s="2" t="s">
        <v>29</v>
      </c>
      <c r="N10" s="2" t="s">
        <v>11488</v>
      </c>
      <c r="O10" s="2"/>
      <c r="P10" s="2"/>
    </row>
    <row r="11" spans="1:16" ht="13.2" customHeight="1" x14ac:dyDescent="0.25">
      <c r="A11" s="8" t="s">
        <v>10102</v>
      </c>
      <c r="B11" s="2" t="s">
        <v>11489</v>
      </c>
      <c r="C11" s="2"/>
      <c r="D11" s="2" t="s">
        <v>11490</v>
      </c>
      <c r="E11" s="2" t="s">
        <v>11491</v>
      </c>
      <c r="F11" s="2" t="s">
        <v>11492</v>
      </c>
      <c r="G11" s="2" t="s">
        <v>11493</v>
      </c>
      <c r="H11" s="2" t="s">
        <v>11494</v>
      </c>
      <c r="I11" s="8">
        <v>5</v>
      </c>
      <c r="J11" s="2" t="s">
        <v>11495</v>
      </c>
      <c r="K11" s="2"/>
      <c r="L11" s="2" t="s">
        <v>11434</v>
      </c>
      <c r="M11" s="2" t="s">
        <v>29</v>
      </c>
      <c r="N11" s="2" t="s">
        <v>6503</v>
      </c>
      <c r="O11" s="2"/>
      <c r="P11" s="2"/>
    </row>
    <row r="12" spans="1:16" ht="13.2" customHeight="1" x14ac:dyDescent="0.25">
      <c r="A12" s="8" t="s">
        <v>10111</v>
      </c>
      <c r="B12" s="2" t="s">
        <v>11496</v>
      </c>
      <c r="C12" s="2"/>
      <c r="D12" s="2" t="s">
        <v>11497</v>
      </c>
      <c r="E12" s="2" t="s">
        <v>11498</v>
      </c>
      <c r="F12" s="2" t="s">
        <v>11499</v>
      </c>
      <c r="G12" s="2" t="s">
        <v>11500</v>
      </c>
      <c r="H12" s="2" t="s">
        <v>11501</v>
      </c>
      <c r="I12" s="8">
        <v>5</v>
      </c>
      <c r="J12" s="2" t="s">
        <v>11502</v>
      </c>
      <c r="K12" s="2"/>
      <c r="L12" s="2" t="s">
        <v>11503</v>
      </c>
      <c r="M12" s="2" t="s">
        <v>29</v>
      </c>
      <c r="N12" s="2" t="s">
        <v>731</v>
      </c>
      <c r="O12" s="2"/>
      <c r="P12" s="2"/>
    </row>
    <row r="13" spans="1:16" ht="13.2" customHeight="1" x14ac:dyDescent="0.25">
      <c r="A13" s="8" t="s">
        <v>10119</v>
      </c>
      <c r="B13" s="2" t="s">
        <v>11504</v>
      </c>
      <c r="C13" s="2"/>
      <c r="D13" s="2" t="s">
        <v>11505</v>
      </c>
      <c r="E13" s="2" t="s">
        <v>11506</v>
      </c>
      <c r="F13" s="2" t="s">
        <v>11507</v>
      </c>
      <c r="G13" s="2" t="s">
        <v>11508</v>
      </c>
      <c r="H13" s="2" t="s">
        <v>11509</v>
      </c>
      <c r="I13" s="8">
        <v>4</v>
      </c>
      <c r="J13" s="2" t="s">
        <v>11510</v>
      </c>
      <c r="K13" s="2"/>
      <c r="L13" s="2" t="s">
        <v>11434</v>
      </c>
      <c r="M13" s="2" t="s">
        <v>29</v>
      </c>
      <c r="N13" s="2" t="s">
        <v>9362</v>
      </c>
      <c r="O13" s="2"/>
      <c r="P13" s="2"/>
    </row>
    <row r="14" spans="1:16" ht="13.2" customHeight="1" x14ac:dyDescent="0.25">
      <c r="A14" s="8" t="s">
        <v>10123</v>
      </c>
      <c r="B14" s="2" t="s">
        <v>11511</v>
      </c>
      <c r="C14" s="2"/>
      <c r="D14" s="2" t="s">
        <v>11512</v>
      </c>
      <c r="E14" s="2" t="s">
        <v>11513</v>
      </c>
      <c r="F14" s="2" t="s">
        <v>11514</v>
      </c>
      <c r="G14" s="2" t="s">
        <v>6887</v>
      </c>
      <c r="H14" s="2" t="s">
        <v>11515</v>
      </c>
      <c r="I14" s="8">
        <v>3</v>
      </c>
      <c r="J14" s="2" t="s">
        <v>11516</v>
      </c>
      <c r="K14" s="2"/>
      <c r="L14" s="2" t="s">
        <v>11434</v>
      </c>
      <c r="M14" s="2" t="s">
        <v>29</v>
      </c>
      <c r="N14" s="2" t="s">
        <v>8350</v>
      </c>
      <c r="O14" s="2"/>
      <c r="P14" s="2"/>
    </row>
    <row r="15" spans="1:16" ht="13.2" customHeight="1" x14ac:dyDescent="0.25">
      <c r="A15" s="8" t="s">
        <v>10130</v>
      </c>
      <c r="B15" s="2" t="s">
        <v>11517</v>
      </c>
      <c r="C15" s="2"/>
      <c r="D15" s="2" t="s">
        <v>11518</v>
      </c>
      <c r="E15" s="2" t="s">
        <v>11519</v>
      </c>
      <c r="F15" s="2" t="s">
        <v>11520</v>
      </c>
      <c r="G15" s="2" t="s">
        <v>11521</v>
      </c>
      <c r="H15" s="2" t="s">
        <v>11522</v>
      </c>
      <c r="I15" s="8">
        <v>5</v>
      </c>
      <c r="J15" s="2" t="s">
        <v>11523</v>
      </c>
      <c r="K15" s="2"/>
      <c r="L15" s="2" t="s">
        <v>11503</v>
      </c>
      <c r="M15" s="2" t="s">
        <v>29</v>
      </c>
      <c r="N15" s="2" t="s">
        <v>10136</v>
      </c>
      <c r="O15" s="2"/>
      <c r="P15" s="2"/>
    </row>
    <row r="16" spans="1:16" ht="13.2" customHeight="1" x14ac:dyDescent="0.25">
      <c r="A16" s="8" t="s">
        <v>10137</v>
      </c>
      <c r="B16" s="2" t="s">
        <v>11524</v>
      </c>
      <c r="C16" s="2"/>
      <c r="D16" s="2" t="s">
        <v>11525</v>
      </c>
      <c r="E16" s="2" t="s">
        <v>11526</v>
      </c>
      <c r="F16" s="2" t="s">
        <v>11527</v>
      </c>
      <c r="G16" s="2" t="s">
        <v>11528</v>
      </c>
      <c r="H16" s="2" t="s">
        <v>11529</v>
      </c>
      <c r="I16" s="8">
        <v>2</v>
      </c>
      <c r="J16" s="2" t="s">
        <v>11530</v>
      </c>
      <c r="K16" s="2"/>
      <c r="L16" s="2" t="s">
        <v>11503</v>
      </c>
      <c r="M16" s="2" t="s">
        <v>29</v>
      </c>
      <c r="N16" s="2" t="s">
        <v>11531</v>
      </c>
      <c r="O16" s="2"/>
      <c r="P16" s="2"/>
    </row>
    <row r="17" spans="1:16" ht="13.2" customHeight="1" x14ac:dyDescent="0.25">
      <c r="A17" s="8" t="s">
        <v>10142</v>
      </c>
      <c r="B17" s="2" t="s">
        <v>11532</v>
      </c>
      <c r="C17" s="2"/>
      <c r="D17" s="2" t="s">
        <v>11478</v>
      </c>
      <c r="E17" s="2" t="s">
        <v>11533</v>
      </c>
      <c r="F17" s="2" t="s">
        <v>11534</v>
      </c>
      <c r="G17" s="2" t="s">
        <v>11535</v>
      </c>
      <c r="H17" s="2" t="s">
        <v>11536</v>
      </c>
      <c r="I17" s="8">
        <v>5</v>
      </c>
      <c r="J17" s="2" t="s">
        <v>11537</v>
      </c>
      <c r="K17" s="2"/>
      <c r="L17" s="2" t="s">
        <v>11434</v>
      </c>
      <c r="M17" s="2" t="s">
        <v>29</v>
      </c>
      <c r="N17" s="2" t="s">
        <v>5329</v>
      </c>
      <c r="O17" s="2"/>
      <c r="P17" s="2"/>
    </row>
    <row r="18" spans="1:16" ht="13.2" customHeight="1" x14ac:dyDescent="0.25">
      <c r="A18" s="8" t="s">
        <v>10146</v>
      </c>
      <c r="B18" s="2" t="s">
        <v>11538</v>
      </c>
      <c r="C18" s="2"/>
      <c r="D18" s="2" t="s">
        <v>9668</v>
      </c>
      <c r="E18" s="2" t="s">
        <v>5467</v>
      </c>
      <c r="F18" s="2" t="s">
        <v>11539</v>
      </c>
      <c r="G18" s="2" t="s">
        <v>11540</v>
      </c>
      <c r="H18" s="2" t="s">
        <v>11541</v>
      </c>
      <c r="I18" s="8">
        <v>4</v>
      </c>
      <c r="J18" s="2" t="s">
        <v>11542</v>
      </c>
      <c r="K18" s="2"/>
      <c r="L18" s="2" t="s">
        <v>11434</v>
      </c>
      <c r="M18" s="2" t="s">
        <v>29</v>
      </c>
      <c r="N18" s="2" t="s">
        <v>1796</v>
      </c>
      <c r="O18" s="2"/>
      <c r="P18" s="2"/>
    </row>
    <row r="19" spans="1:16" ht="13.2" customHeight="1" x14ac:dyDescent="0.25">
      <c r="A19" s="8" t="s">
        <v>10154</v>
      </c>
      <c r="B19" s="2" t="s">
        <v>11543</v>
      </c>
      <c r="C19" s="2"/>
      <c r="D19" s="2" t="s">
        <v>11544</v>
      </c>
      <c r="E19" s="2" t="s">
        <v>11545</v>
      </c>
      <c r="F19" s="2" t="s">
        <v>11546</v>
      </c>
      <c r="G19" s="2" t="s">
        <v>11547</v>
      </c>
      <c r="H19" s="2" t="s">
        <v>11548</v>
      </c>
      <c r="I19" s="8">
        <v>3</v>
      </c>
      <c r="J19" s="2" t="s">
        <v>11549</v>
      </c>
      <c r="K19" s="2"/>
      <c r="L19" s="2" t="s">
        <v>11503</v>
      </c>
      <c r="M19" s="2" t="s">
        <v>29</v>
      </c>
      <c r="N19" s="2" t="s">
        <v>6555</v>
      </c>
      <c r="O19" s="2"/>
      <c r="P19" s="2"/>
    </row>
    <row r="20" spans="1:16" ht="13.2" customHeight="1" x14ac:dyDescent="0.25">
      <c r="A20" s="8" t="s">
        <v>10162</v>
      </c>
      <c r="B20" s="2" t="s">
        <v>11550</v>
      </c>
      <c r="C20" s="2"/>
      <c r="D20" s="2" t="s">
        <v>11551</v>
      </c>
      <c r="E20" s="2" t="s">
        <v>11552</v>
      </c>
      <c r="F20" s="2" t="s">
        <v>11553</v>
      </c>
      <c r="G20" s="2" t="s">
        <v>11554</v>
      </c>
      <c r="H20" s="2" t="s">
        <v>11555</v>
      </c>
      <c r="I20" s="8">
        <v>5</v>
      </c>
      <c r="J20" s="2" t="s">
        <v>11556</v>
      </c>
      <c r="K20" s="2"/>
      <c r="L20" s="2" t="s">
        <v>11503</v>
      </c>
      <c r="M20" s="2" t="s">
        <v>29</v>
      </c>
      <c r="N20" s="2" t="s">
        <v>8451</v>
      </c>
      <c r="O20" s="2"/>
      <c r="P20" s="2"/>
    </row>
    <row r="21" spans="1:16" ht="13.2" customHeight="1" x14ac:dyDescent="0.25">
      <c r="A21" s="8" t="s">
        <v>10169</v>
      </c>
      <c r="B21" s="2" t="s">
        <v>11557</v>
      </c>
      <c r="C21" s="2"/>
      <c r="D21" s="2" t="s">
        <v>11558</v>
      </c>
      <c r="E21" s="2" t="s">
        <v>11559</v>
      </c>
      <c r="F21" s="2" t="s">
        <v>11560</v>
      </c>
      <c r="G21" s="2" t="s">
        <v>11561</v>
      </c>
      <c r="H21" s="2" t="s">
        <v>11562</v>
      </c>
      <c r="I21" s="8">
        <v>3</v>
      </c>
      <c r="J21" s="2" t="s">
        <v>11563</v>
      </c>
      <c r="K21" s="2"/>
      <c r="L21" s="2" t="s">
        <v>11434</v>
      </c>
      <c r="M21" s="2" t="s">
        <v>29</v>
      </c>
      <c r="N21" s="2" t="s">
        <v>10176</v>
      </c>
      <c r="O21" s="2"/>
      <c r="P21" s="2"/>
    </row>
    <row r="22" spans="1:16" ht="13.2" customHeight="1" x14ac:dyDescent="0.25">
      <c r="A22" s="8" t="s">
        <v>10177</v>
      </c>
      <c r="B22" s="2" t="s">
        <v>11564</v>
      </c>
      <c r="C22" s="2"/>
      <c r="D22" s="2" t="s">
        <v>11565</v>
      </c>
      <c r="E22" s="2" t="s">
        <v>11566</v>
      </c>
      <c r="F22" s="2" t="s">
        <v>11567</v>
      </c>
      <c r="G22" s="2" t="s">
        <v>11568</v>
      </c>
      <c r="H22" s="2" t="s">
        <v>11569</v>
      </c>
      <c r="I22" s="8">
        <v>2</v>
      </c>
      <c r="J22" s="2" t="s">
        <v>11570</v>
      </c>
      <c r="K22" s="2"/>
      <c r="L22" s="2" t="s">
        <v>11434</v>
      </c>
      <c r="M22" s="2" t="s">
        <v>29</v>
      </c>
      <c r="N22" s="2" t="s">
        <v>11571</v>
      </c>
      <c r="O22" s="2"/>
      <c r="P22" s="2"/>
    </row>
    <row r="23" spans="1:16" ht="13.2" customHeight="1" x14ac:dyDescent="0.25">
      <c r="A23" s="8" t="s">
        <v>10183</v>
      </c>
      <c r="B23" s="2" t="s">
        <v>11572</v>
      </c>
      <c r="C23" s="2"/>
      <c r="D23" s="2" t="s">
        <v>11573</v>
      </c>
      <c r="E23" s="2" t="s">
        <v>11574</v>
      </c>
      <c r="F23" s="2" t="s">
        <v>11575</v>
      </c>
      <c r="G23" s="2" t="s">
        <v>11576</v>
      </c>
      <c r="H23" s="2" t="s">
        <v>11577</v>
      </c>
      <c r="I23" s="8">
        <v>3</v>
      </c>
      <c r="J23" s="2" t="s">
        <v>11578</v>
      </c>
      <c r="K23" s="2"/>
      <c r="L23" s="2" t="s">
        <v>11434</v>
      </c>
      <c r="M23" s="2" t="s">
        <v>29</v>
      </c>
      <c r="N23" s="2" t="s">
        <v>8493</v>
      </c>
      <c r="O23" s="2"/>
      <c r="P23" s="2"/>
    </row>
    <row r="24" spans="1:16" ht="13.2" customHeight="1" x14ac:dyDescent="0.25">
      <c r="A24" s="8" t="s">
        <v>10189</v>
      </c>
      <c r="B24" s="2" t="s">
        <v>11579</v>
      </c>
      <c r="C24" s="2"/>
      <c r="D24" s="2" t="s">
        <v>11580</v>
      </c>
      <c r="E24" s="2" t="s">
        <v>11581</v>
      </c>
      <c r="F24" s="2" t="s">
        <v>11582</v>
      </c>
      <c r="G24" s="2" t="s">
        <v>11583</v>
      </c>
      <c r="H24" s="2" t="s">
        <v>11584</v>
      </c>
      <c r="I24" s="8">
        <v>2</v>
      </c>
      <c r="J24" s="2" t="s">
        <v>11585</v>
      </c>
      <c r="K24" s="2"/>
      <c r="L24" s="2" t="s">
        <v>11434</v>
      </c>
      <c r="M24" s="2" t="s">
        <v>29</v>
      </c>
      <c r="N24" s="2" t="s">
        <v>11586</v>
      </c>
      <c r="O24" s="2"/>
      <c r="P24" s="2"/>
    </row>
    <row r="25" spans="1:16" ht="13.2" customHeight="1" x14ac:dyDescent="0.25">
      <c r="A25" s="8" t="s">
        <v>10197</v>
      </c>
      <c r="B25" s="2" t="s">
        <v>11587</v>
      </c>
      <c r="C25" s="2"/>
      <c r="D25" s="2" t="s">
        <v>11588</v>
      </c>
      <c r="E25" s="2" t="s">
        <v>11589</v>
      </c>
      <c r="F25" s="2" t="s">
        <v>11590</v>
      </c>
      <c r="G25" s="2" t="s">
        <v>11591</v>
      </c>
      <c r="H25" s="2" t="s">
        <v>11592</v>
      </c>
      <c r="I25" s="8">
        <v>1</v>
      </c>
      <c r="J25" s="2" t="s">
        <v>11593</v>
      </c>
      <c r="K25" s="2"/>
      <c r="L25" s="2" t="s">
        <v>11434</v>
      </c>
      <c r="M25" s="2" t="s">
        <v>29</v>
      </c>
      <c r="N25" s="2" t="s">
        <v>11594</v>
      </c>
      <c r="O25" s="2"/>
      <c r="P25" s="2"/>
    </row>
    <row r="26" spans="1:16" ht="13.2" customHeight="1" x14ac:dyDescent="0.25">
      <c r="A26" s="8" t="s">
        <v>10207</v>
      </c>
      <c r="B26" s="2" t="s">
        <v>11595</v>
      </c>
      <c r="C26" s="2"/>
      <c r="D26" s="2" t="s">
        <v>11596</v>
      </c>
      <c r="E26" s="2" t="s">
        <v>11597</v>
      </c>
      <c r="F26" s="2" t="s">
        <v>11598</v>
      </c>
      <c r="G26" s="2" t="s">
        <v>11599</v>
      </c>
      <c r="H26" s="2" t="s">
        <v>11600</v>
      </c>
      <c r="I26" s="8">
        <v>3</v>
      </c>
      <c r="J26" s="2" t="s">
        <v>11601</v>
      </c>
      <c r="K26" s="2"/>
      <c r="L26" s="2" t="s">
        <v>11434</v>
      </c>
      <c r="M26" s="2" t="s">
        <v>29</v>
      </c>
      <c r="N26" s="2" t="s">
        <v>11602</v>
      </c>
      <c r="O26" s="2"/>
      <c r="P26" s="2"/>
    </row>
    <row r="27" spans="1:16" ht="13.2" customHeight="1" x14ac:dyDescent="0.25">
      <c r="A27" s="8" t="s">
        <v>10214</v>
      </c>
      <c r="B27" s="2" t="s">
        <v>11603</v>
      </c>
      <c r="C27" s="2"/>
      <c r="D27" s="2" t="s">
        <v>11604</v>
      </c>
      <c r="E27" s="2" t="s">
        <v>11605</v>
      </c>
      <c r="F27" s="2" t="s">
        <v>11606</v>
      </c>
      <c r="G27" s="2" t="s">
        <v>11607</v>
      </c>
      <c r="H27" s="2" t="s">
        <v>11608</v>
      </c>
      <c r="I27" s="8">
        <v>3</v>
      </c>
      <c r="J27" s="2" t="s">
        <v>11609</v>
      </c>
      <c r="K27" s="2"/>
      <c r="L27" s="2" t="s">
        <v>11434</v>
      </c>
      <c r="M27" s="2" t="s">
        <v>29</v>
      </c>
      <c r="N27" s="2" t="s">
        <v>11610</v>
      </c>
      <c r="O27" s="2"/>
      <c r="P27" s="2"/>
    </row>
    <row r="28" spans="1:16" ht="13.2" customHeight="1" x14ac:dyDescent="0.25">
      <c r="A28" s="8" t="s">
        <v>10222</v>
      </c>
      <c r="B28" s="2" t="s">
        <v>11611</v>
      </c>
      <c r="C28" s="2"/>
      <c r="D28" s="2" t="s">
        <v>11612</v>
      </c>
      <c r="E28" s="2" t="s">
        <v>11613</v>
      </c>
      <c r="F28" s="2" t="s">
        <v>11614</v>
      </c>
      <c r="G28" s="2" t="s">
        <v>11615</v>
      </c>
      <c r="H28" s="2" t="s">
        <v>11616</v>
      </c>
      <c r="I28" s="8">
        <v>1</v>
      </c>
      <c r="J28" s="2" t="s">
        <v>11617</v>
      </c>
      <c r="K28" s="2"/>
      <c r="L28" s="2" t="s">
        <v>11434</v>
      </c>
      <c r="M28" s="2" t="s">
        <v>29</v>
      </c>
      <c r="N28" s="2" t="s">
        <v>2908</v>
      </c>
      <c r="O28" s="2"/>
      <c r="P28" s="2"/>
    </row>
    <row r="29" spans="1:16" ht="13.2" customHeight="1" x14ac:dyDescent="0.25">
      <c r="A29" s="8" t="s">
        <v>10231</v>
      </c>
      <c r="B29" s="2" t="s">
        <v>11618</v>
      </c>
      <c r="C29" s="2"/>
      <c r="D29" s="2" t="s">
        <v>11619</v>
      </c>
      <c r="E29" s="2" t="s">
        <v>11620</v>
      </c>
      <c r="F29" s="2" t="s">
        <v>11621</v>
      </c>
      <c r="G29" s="2" t="s">
        <v>11622</v>
      </c>
      <c r="H29" s="2" t="s">
        <v>11623</v>
      </c>
      <c r="I29" s="8">
        <v>4</v>
      </c>
      <c r="J29" s="2" t="s">
        <v>11624</v>
      </c>
      <c r="K29" s="2"/>
      <c r="L29" s="2" t="s">
        <v>11434</v>
      </c>
      <c r="M29" s="2" t="s">
        <v>29</v>
      </c>
      <c r="N29" s="2" t="s">
        <v>11625</v>
      </c>
      <c r="O29" s="2"/>
      <c r="P29" s="2"/>
    </row>
    <row r="30" spans="1:16" ht="13.2" customHeight="1" x14ac:dyDescent="0.25">
      <c r="A30" s="8" t="s">
        <v>10238</v>
      </c>
      <c r="B30" s="2" t="s">
        <v>11626</v>
      </c>
      <c r="C30" s="2"/>
      <c r="D30" s="2" t="s">
        <v>4331</v>
      </c>
      <c r="E30" s="2" t="s">
        <v>190</v>
      </c>
      <c r="F30" s="2" t="s">
        <v>11627</v>
      </c>
      <c r="G30" s="2" t="s">
        <v>11628</v>
      </c>
      <c r="H30" s="2" t="s">
        <v>11490</v>
      </c>
      <c r="I30" s="8">
        <v>5</v>
      </c>
      <c r="J30" s="2" t="s">
        <v>11629</v>
      </c>
      <c r="K30" s="2"/>
      <c r="L30" s="2" t="s">
        <v>11434</v>
      </c>
      <c r="M30" s="2" t="s">
        <v>29</v>
      </c>
      <c r="N30" s="2" t="s">
        <v>6622</v>
      </c>
      <c r="O30" s="2"/>
      <c r="P30" s="2"/>
    </row>
    <row r="31" spans="1:16" ht="13.2" customHeight="1" x14ac:dyDescent="0.25">
      <c r="A31" s="8" t="s">
        <v>10246</v>
      </c>
      <c r="B31" s="2" t="s">
        <v>11630</v>
      </c>
      <c r="C31" s="2"/>
      <c r="D31" s="2" t="s">
        <v>11631</v>
      </c>
      <c r="E31" s="2" t="s">
        <v>11632</v>
      </c>
      <c r="F31" s="2" t="s">
        <v>11633</v>
      </c>
      <c r="G31" s="2" t="s">
        <v>11634</v>
      </c>
      <c r="H31" s="2" t="s">
        <v>11635</v>
      </c>
      <c r="I31" s="8">
        <v>1</v>
      </c>
      <c r="J31" s="2" t="s">
        <v>11636</v>
      </c>
      <c r="K31" s="2"/>
      <c r="L31" s="2" t="s">
        <v>11637</v>
      </c>
      <c r="M31" s="2" t="s">
        <v>29</v>
      </c>
      <c r="N31" s="2" t="s">
        <v>11638</v>
      </c>
      <c r="O31" s="2"/>
      <c r="P31" s="2"/>
    </row>
    <row r="32" spans="1:16" ht="13.2" customHeight="1" x14ac:dyDescent="0.25">
      <c r="A32" s="8" t="s">
        <v>10250</v>
      </c>
      <c r="B32" s="2" t="s">
        <v>11639</v>
      </c>
      <c r="C32" s="2"/>
      <c r="D32" s="2" t="s">
        <v>11640</v>
      </c>
      <c r="E32" s="2" t="s">
        <v>11641</v>
      </c>
      <c r="F32" s="2" t="s">
        <v>11642</v>
      </c>
      <c r="G32" s="2" t="s">
        <v>11643</v>
      </c>
      <c r="H32" s="2" t="s">
        <v>11644</v>
      </c>
      <c r="I32" s="8">
        <v>5</v>
      </c>
      <c r="J32" s="2" t="s">
        <v>11645</v>
      </c>
      <c r="K32" s="2"/>
      <c r="L32" s="2" t="s">
        <v>11637</v>
      </c>
      <c r="M32" s="2" t="s">
        <v>29</v>
      </c>
      <c r="N32" s="2" t="s">
        <v>857</v>
      </c>
      <c r="O32" s="2"/>
      <c r="P32" s="2"/>
    </row>
    <row r="33" spans="1:16" ht="13.2" customHeight="1" x14ac:dyDescent="0.25">
      <c r="A33" s="8" t="s">
        <v>10257</v>
      </c>
      <c r="B33" s="2" t="s">
        <v>11646</v>
      </c>
      <c r="C33" s="2"/>
      <c r="D33" s="2" t="s">
        <v>11647</v>
      </c>
      <c r="E33" s="2" t="s">
        <v>11648</v>
      </c>
      <c r="F33" s="2" t="s">
        <v>11649</v>
      </c>
      <c r="G33" s="2" t="s">
        <v>7413</v>
      </c>
      <c r="H33" s="2" t="s">
        <v>11650</v>
      </c>
      <c r="I33" s="8">
        <v>2</v>
      </c>
      <c r="J33" s="2" t="s">
        <v>11651</v>
      </c>
      <c r="K33" s="2"/>
      <c r="L33" s="2" t="s">
        <v>11637</v>
      </c>
      <c r="M33" s="2" t="s">
        <v>29</v>
      </c>
      <c r="N33" s="2" t="s">
        <v>8556</v>
      </c>
      <c r="O33" s="2"/>
      <c r="P33" s="2"/>
    </row>
    <row r="34" spans="1:16" ht="13.2" customHeight="1" x14ac:dyDescent="0.25">
      <c r="A34" s="8" t="s">
        <v>10261</v>
      </c>
      <c r="B34" s="2" t="s">
        <v>11652</v>
      </c>
      <c r="C34" s="2"/>
      <c r="D34" s="2" t="s">
        <v>11653</v>
      </c>
      <c r="E34" s="2" t="s">
        <v>11654</v>
      </c>
      <c r="F34" s="2" t="s">
        <v>11655</v>
      </c>
      <c r="G34" s="2" t="s">
        <v>11656</v>
      </c>
      <c r="H34" s="2" t="s">
        <v>277</v>
      </c>
      <c r="I34" s="8">
        <v>2</v>
      </c>
      <c r="J34" s="2" t="s">
        <v>11657</v>
      </c>
      <c r="K34" s="2"/>
      <c r="L34" s="2" t="s">
        <v>11637</v>
      </c>
      <c r="M34" s="2" t="s">
        <v>29</v>
      </c>
      <c r="N34" s="2" t="s">
        <v>2953</v>
      </c>
      <c r="O34" s="2"/>
      <c r="P34" s="2"/>
    </row>
    <row r="35" spans="1:16" ht="13.2" customHeight="1" x14ac:dyDescent="0.25">
      <c r="A35" s="8" t="s">
        <v>10267</v>
      </c>
      <c r="B35" s="2" t="s">
        <v>11658</v>
      </c>
      <c r="C35" s="2"/>
      <c r="D35" s="2" t="s">
        <v>733</v>
      </c>
      <c r="E35" s="2" t="s">
        <v>362</v>
      </c>
      <c r="F35" s="2" t="s">
        <v>158</v>
      </c>
      <c r="G35" s="2" t="s">
        <v>459</v>
      </c>
      <c r="H35" s="2" t="s">
        <v>11653</v>
      </c>
      <c r="I35" s="8">
        <v>2</v>
      </c>
      <c r="J35" s="2" t="s">
        <v>11659</v>
      </c>
      <c r="K35" s="2"/>
      <c r="L35" s="2" t="s">
        <v>11637</v>
      </c>
      <c r="M35" s="2" t="s">
        <v>29</v>
      </c>
      <c r="N35" s="2" t="s">
        <v>7215</v>
      </c>
      <c r="O35" s="2"/>
      <c r="P35" s="2"/>
    </row>
    <row r="36" spans="1:16" ht="13.2" customHeight="1" x14ac:dyDescent="0.25">
      <c r="A36" s="8" t="s">
        <v>10920</v>
      </c>
      <c r="B36" s="2" t="s">
        <v>11660</v>
      </c>
      <c r="C36" s="2"/>
      <c r="D36" s="2" t="s">
        <v>11661</v>
      </c>
      <c r="E36" s="2" t="s">
        <v>11662</v>
      </c>
      <c r="F36" s="2" t="s">
        <v>11663</v>
      </c>
      <c r="G36" s="2" t="s">
        <v>11664</v>
      </c>
      <c r="H36" s="2" t="s">
        <v>11663</v>
      </c>
      <c r="I36" s="8">
        <v>2</v>
      </c>
      <c r="J36" s="2" t="s">
        <v>11665</v>
      </c>
      <c r="K36" s="2"/>
      <c r="L36" s="2" t="s">
        <v>11434</v>
      </c>
      <c r="M36" s="2" t="s">
        <v>29</v>
      </c>
      <c r="N36" s="2" t="s">
        <v>6660</v>
      </c>
      <c r="O36" s="2"/>
      <c r="P36" s="2"/>
    </row>
    <row r="37" spans="1:16" ht="13.2" customHeight="1" x14ac:dyDescent="0.25">
      <c r="A37" s="8" t="s">
        <v>10275</v>
      </c>
      <c r="B37" s="2" t="s">
        <v>11666</v>
      </c>
      <c r="C37" s="2"/>
      <c r="D37" s="2" t="s">
        <v>11429</v>
      </c>
      <c r="E37" s="2" t="s">
        <v>6891</v>
      </c>
      <c r="F37" s="2" t="s">
        <v>11667</v>
      </c>
      <c r="G37" s="2" t="s">
        <v>6887</v>
      </c>
      <c r="H37" s="2" t="s">
        <v>11668</v>
      </c>
      <c r="I37" s="8">
        <v>1</v>
      </c>
      <c r="J37" s="2" t="s">
        <v>11669</v>
      </c>
      <c r="K37" s="2"/>
      <c r="L37" s="2" t="s">
        <v>11434</v>
      </c>
      <c r="M37" s="2" t="s">
        <v>29</v>
      </c>
      <c r="N37" s="2" t="s">
        <v>2979</v>
      </c>
      <c r="O37" s="2"/>
      <c r="P37" s="2"/>
    </row>
    <row r="38" spans="1:16" ht="13.2" customHeight="1" x14ac:dyDescent="0.25">
      <c r="A38" s="8" t="s">
        <v>10285</v>
      </c>
      <c r="B38" s="2" t="s">
        <v>11670</v>
      </c>
      <c r="C38" s="2"/>
      <c r="D38" s="2" t="s">
        <v>11671</v>
      </c>
      <c r="E38" s="2" t="s">
        <v>11672</v>
      </c>
      <c r="F38" s="2" t="s">
        <v>11673</v>
      </c>
      <c r="G38" s="2" t="s">
        <v>4397</v>
      </c>
      <c r="H38" s="2" t="s">
        <v>11674</v>
      </c>
      <c r="I38" s="8">
        <v>1</v>
      </c>
      <c r="J38" s="2" t="s">
        <v>11675</v>
      </c>
      <c r="K38" s="2"/>
      <c r="L38" s="2" t="s">
        <v>11503</v>
      </c>
      <c r="M38" s="2" t="s">
        <v>29</v>
      </c>
      <c r="N38" s="2" t="s">
        <v>8594</v>
      </c>
      <c r="O38" s="2"/>
      <c r="P38" s="2"/>
    </row>
    <row r="39" spans="1:16" ht="13.2" customHeight="1" x14ac:dyDescent="0.25">
      <c r="A39" s="8" t="s">
        <v>10294</v>
      </c>
      <c r="B39" s="2" t="s">
        <v>11676</v>
      </c>
      <c r="C39" s="2"/>
      <c r="D39" s="2" t="s">
        <v>11677</v>
      </c>
      <c r="E39" s="2" t="s">
        <v>11678</v>
      </c>
      <c r="F39" s="2" t="s">
        <v>11679</v>
      </c>
      <c r="G39" s="2" t="s">
        <v>11680</v>
      </c>
      <c r="H39" s="2" t="s">
        <v>11681</v>
      </c>
      <c r="I39" s="8">
        <v>3</v>
      </c>
      <c r="J39" s="2" t="s">
        <v>11682</v>
      </c>
      <c r="K39" s="2"/>
      <c r="L39" s="2" t="s">
        <v>11434</v>
      </c>
      <c r="M39" s="2" t="s">
        <v>29</v>
      </c>
      <c r="N39" s="2" t="s">
        <v>2996</v>
      </c>
      <c r="O39" s="2"/>
      <c r="P39" s="2"/>
    </row>
    <row r="40" spans="1:16" ht="13.2" customHeight="1" x14ac:dyDescent="0.25">
      <c r="A40" s="8" t="s">
        <v>10302</v>
      </c>
      <c r="B40" s="2" t="s">
        <v>1043</v>
      </c>
      <c r="C40" s="2"/>
      <c r="D40" s="2" t="s">
        <v>11683</v>
      </c>
      <c r="E40" s="2" t="s">
        <v>11684</v>
      </c>
      <c r="F40" s="2" t="s">
        <v>11685</v>
      </c>
      <c r="G40" s="2" t="s">
        <v>11686</v>
      </c>
      <c r="H40" s="2" t="s">
        <v>11687</v>
      </c>
      <c r="I40" s="8">
        <v>4</v>
      </c>
      <c r="J40" s="2" t="s">
        <v>11688</v>
      </c>
      <c r="K40" s="2"/>
      <c r="L40" s="2" t="s">
        <v>11434</v>
      </c>
      <c r="M40" s="2" t="s">
        <v>29</v>
      </c>
      <c r="N40" s="2" t="s">
        <v>3004</v>
      </c>
      <c r="O40" s="2"/>
      <c r="P40" s="2"/>
    </row>
    <row r="41" spans="1:16" ht="13.2" customHeight="1" x14ac:dyDescent="0.25">
      <c r="A41" s="8" t="s">
        <v>10309</v>
      </c>
      <c r="B41" s="2" t="s">
        <v>11689</v>
      </c>
      <c r="C41" s="2"/>
      <c r="D41" s="2" t="s">
        <v>11690</v>
      </c>
      <c r="E41" s="2" t="s">
        <v>11691</v>
      </c>
      <c r="F41" s="2" t="s">
        <v>11692</v>
      </c>
      <c r="G41" s="2" t="s">
        <v>11693</v>
      </c>
      <c r="H41" s="2" t="s">
        <v>799</v>
      </c>
      <c r="I41" s="8">
        <v>2</v>
      </c>
      <c r="J41" s="2" t="s">
        <v>11694</v>
      </c>
      <c r="K41" s="2"/>
      <c r="L41" s="2" t="s">
        <v>11434</v>
      </c>
      <c r="M41" s="2" t="s">
        <v>29</v>
      </c>
      <c r="N41" s="2" t="s">
        <v>5493</v>
      </c>
      <c r="O41" s="2"/>
      <c r="P41" s="2"/>
    </row>
    <row r="42" spans="1:16" ht="13.2" customHeight="1" x14ac:dyDescent="0.25">
      <c r="A42" s="8" t="s">
        <v>10316</v>
      </c>
      <c r="B42" s="2" t="s">
        <v>11695</v>
      </c>
      <c r="C42" s="2"/>
      <c r="D42" s="2" t="s">
        <v>11696</v>
      </c>
      <c r="E42" s="2" t="s">
        <v>11697</v>
      </c>
      <c r="F42" s="2" t="s">
        <v>11698</v>
      </c>
      <c r="G42" s="2" t="s">
        <v>11699</v>
      </c>
      <c r="H42" s="2" t="s">
        <v>11700</v>
      </c>
      <c r="I42" s="8">
        <v>4</v>
      </c>
      <c r="J42" s="2" t="s">
        <v>11701</v>
      </c>
      <c r="K42" s="2"/>
      <c r="L42" s="2" t="s">
        <v>11503</v>
      </c>
      <c r="M42" s="2" t="s">
        <v>29</v>
      </c>
      <c r="N42" s="2" t="s">
        <v>11702</v>
      </c>
      <c r="O42" s="2"/>
      <c r="P42" s="2"/>
    </row>
    <row r="43" spans="1:16" ht="13.2" customHeight="1" x14ac:dyDescent="0.25">
      <c r="A43" s="8" t="s">
        <v>10323</v>
      </c>
      <c r="B43" s="2" t="s">
        <v>11703</v>
      </c>
      <c r="C43" s="2"/>
      <c r="D43" s="2" t="s">
        <v>11704</v>
      </c>
      <c r="E43" s="2" t="s">
        <v>11705</v>
      </c>
      <c r="F43" s="2" t="s">
        <v>11706</v>
      </c>
      <c r="G43" s="2" t="s">
        <v>11707</v>
      </c>
      <c r="H43" s="2" t="s">
        <v>11708</v>
      </c>
      <c r="I43" s="8">
        <v>1</v>
      </c>
      <c r="J43" s="2" t="s">
        <v>11709</v>
      </c>
      <c r="K43" s="2"/>
      <c r="L43" s="2" t="s">
        <v>11434</v>
      </c>
      <c r="M43" s="2" t="s">
        <v>29</v>
      </c>
      <c r="N43" s="2" t="s">
        <v>11710</v>
      </c>
      <c r="O43" s="2"/>
      <c r="P43" s="2"/>
    </row>
    <row r="44" spans="1:16" ht="13.2" customHeight="1" x14ac:dyDescent="0.25">
      <c r="A44" s="8" t="s">
        <v>10327</v>
      </c>
      <c r="B44" s="2" t="s">
        <v>11711</v>
      </c>
      <c r="C44" s="2"/>
      <c r="D44" s="2" t="s">
        <v>11712</v>
      </c>
      <c r="E44" s="2" t="s">
        <v>11713</v>
      </c>
      <c r="F44" s="2" t="s">
        <v>11714</v>
      </c>
      <c r="G44" s="2" t="s">
        <v>11715</v>
      </c>
      <c r="H44" s="2" t="s">
        <v>11716</v>
      </c>
      <c r="I44" s="8">
        <v>4</v>
      </c>
      <c r="J44" s="2" t="s">
        <v>11717</v>
      </c>
      <c r="K44" s="2"/>
      <c r="L44" s="2" t="s">
        <v>11434</v>
      </c>
      <c r="M44" s="2" t="s">
        <v>29</v>
      </c>
      <c r="N44" s="2" t="s">
        <v>945</v>
      </c>
      <c r="O44" s="2"/>
      <c r="P44" s="2"/>
    </row>
    <row r="45" spans="1:16" ht="13.2" customHeight="1" x14ac:dyDescent="0.25">
      <c r="A45" s="8" t="s">
        <v>10333</v>
      </c>
      <c r="B45" s="2" t="s">
        <v>11718</v>
      </c>
      <c r="C45" s="2"/>
      <c r="D45" s="2" t="s">
        <v>11719</v>
      </c>
      <c r="E45" s="2" t="s">
        <v>190</v>
      </c>
      <c r="F45" s="2" t="s">
        <v>11720</v>
      </c>
      <c r="G45" s="2" t="s">
        <v>11721</v>
      </c>
      <c r="H45" s="2" t="s">
        <v>11722</v>
      </c>
      <c r="I45" s="8">
        <v>5</v>
      </c>
      <c r="J45" s="2" t="s">
        <v>11723</v>
      </c>
      <c r="K45" s="2"/>
      <c r="L45" s="2" t="s">
        <v>11503</v>
      </c>
      <c r="M45" s="2" t="s">
        <v>29</v>
      </c>
      <c r="N45" s="2" t="s">
        <v>11724</v>
      </c>
      <c r="O45" s="2"/>
      <c r="P45" s="2"/>
    </row>
    <row r="46" spans="1:16" ht="13.2" customHeight="1" x14ac:dyDescent="0.25">
      <c r="A46" s="8" t="s">
        <v>10340</v>
      </c>
      <c r="B46" s="2" t="s">
        <v>11725</v>
      </c>
      <c r="C46" s="2"/>
      <c r="D46" s="2" t="s">
        <v>11726</v>
      </c>
      <c r="E46" s="2" t="s">
        <v>990</v>
      </c>
      <c r="F46" s="2" t="s">
        <v>11727</v>
      </c>
      <c r="G46" s="2" t="s">
        <v>11728</v>
      </c>
      <c r="H46" s="2" t="s">
        <v>11529</v>
      </c>
      <c r="I46" s="8">
        <v>1</v>
      </c>
      <c r="J46" s="2" t="s">
        <v>11729</v>
      </c>
      <c r="K46" s="2"/>
      <c r="L46" s="2" t="s">
        <v>11434</v>
      </c>
      <c r="M46" s="2" t="s">
        <v>29</v>
      </c>
      <c r="N46" s="2" t="s">
        <v>11730</v>
      </c>
      <c r="O46" s="2"/>
      <c r="P46" s="2"/>
    </row>
    <row r="47" spans="1:16" ht="13.2" customHeight="1" x14ac:dyDescent="0.25">
      <c r="A47" s="8" t="s">
        <v>10354</v>
      </c>
      <c r="B47" s="2" t="s">
        <v>11731</v>
      </c>
      <c r="C47" s="2"/>
      <c r="D47" s="2" t="s">
        <v>11732</v>
      </c>
      <c r="E47" s="2" t="s">
        <v>11733</v>
      </c>
      <c r="F47" s="2" t="s">
        <v>11734</v>
      </c>
      <c r="G47" s="2" t="s">
        <v>11735</v>
      </c>
      <c r="H47" s="2" t="s">
        <v>11736</v>
      </c>
      <c r="I47" s="8">
        <v>1</v>
      </c>
      <c r="J47" s="2" t="s">
        <v>11737</v>
      </c>
      <c r="K47" s="2"/>
      <c r="L47" s="2" t="s">
        <v>11434</v>
      </c>
      <c r="M47" s="2" t="s">
        <v>29</v>
      </c>
      <c r="N47" s="2" t="s">
        <v>5533</v>
      </c>
      <c r="O47" s="2"/>
      <c r="P47" s="2"/>
    </row>
    <row r="48" spans="1:16" ht="13.2" customHeight="1" x14ac:dyDescent="0.25">
      <c r="A48" s="8" t="s">
        <v>10363</v>
      </c>
      <c r="B48" s="2" t="s">
        <v>11738</v>
      </c>
      <c r="C48" s="2"/>
      <c r="D48" s="2" t="s">
        <v>11739</v>
      </c>
      <c r="E48" s="2" t="s">
        <v>11740</v>
      </c>
      <c r="F48" s="2" t="s">
        <v>11741</v>
      </c>
      <c r="G48" s="2" t="s">
        <v>11742</v>
      </c>
      <c r="H48" s="2" t="s">
        <v>11743</v>
      </c>
      <c r="I48" s="8">
        <v>3</v>
      </c>
      <c r="J48" s="2" t="s">
        <v>11744</v>
      </c>
      <c r="K48" s="2"/>
      <c r="L48" s="2" t="s">
        <v>11434</v>
      </c>
      <c r="M48" s="2" t="s">
        <v>29</v>
      </c>
      <c r="N48" s="2" t="s">
        <v>3062</v>
      </c>
      <c r="O48" s="2"/>
      <c r="P48" s="2"/>
    </row>
    <row r="49" spans="1:17" ht="13.2" customHeight="1" x14ac:dyDescent="0.25">
      <c r="A49" s="8" t="s">
        <v>10368</v>
      </c>
      <c r="B49" s="2" t="s">
        <v>11745</v>
      </c>
      <c r="C49" s="2"/>
      <c r="D49" s="2" t="s">
        <v>11746</v>
      </c>
      <c r="E49" s="2" t="s">
        <v>11747</v>
      </c>
      <c r="F49" s="2" t="s">
        <v>11748</v>
      </c>
      <c r="G49" s="2" t="s">
        <v>11749</v>
      </c>
      <c r="H49" s="2" t="s">
        <v>11750</v>
      </c>
      <c r="I49" s="8">
        <v>1</v>
      </c>
      <c r="J49" s="2" t="s">
        <v>11751</v>
      </c>
      <c r="K49" s="2"/>
      <c r="L49" s="2" t="s">
        <v>11434</v>
      </c>
      <c r="M49" s="2" t="s">
        <v>29</v>
      </c>
      <c r="N49" s="2" t="s">
        <v>9603</v>
      </c>
      <c r="O49" s="2"/>
      <c r="P49" s="2"/>
    </row>
    <row r="50" spans="1:17" ht="13.2" customHeight="1" x14ac:dyDescent="0.25">
      <c r="A50" s="8" t="s">
        <v>10380</v>
      </c>
      <c r="B50" s="2" t="s">
        <v>11752</v>
      </c>
      <c r="C50" s="2"/>
      <c r="D50" s="2" t="s">
        <v>11753</v>
      </c>
      <c r="E50" s="2" t="s">
        <v>11754</v>
      </c>
      <c r="F50" s="2" t="s">
        <v>11755</v>
      </c>
      <c r="G50" s="2" t="s">
        <v>11756</v>
      </c>
      <c r="H50" s="2" t="s">
        <v>11757</v>
      </c>
      <c r="I50" s="8">
        <v>2</v>
      </c>
      <c r="J50" s="2" t="s">
        <v>11758</v>
      </c>
      <c r="K50" s="2"/>
      <c r="L50" s="2" t="s">
        <v>11434</v>
      </c>
      <c r="M50" s="2" t="s">
        <v>11759</v>
      </c>
      <c r="N50" s="2" t="s">
        <v>11760</v>
      </c>
      <c r="O50" s="2"/>
      <c r="P50" s="2"/>
      <c r="Q50" s="2"/>
    </row>
    <row r="51" spans="1:17" ht="13.2" customHeight="1" x14ac:dyDescent="0.25">
      <c r="A51" s="8" t="s">
        <v>8862</v>
      </c>
      <c r="B51" s="2" t="s">
        <v>11761</v>
      </c>
      <c r="C51" s="2"/>
      <c r="D51" s="2" t="s">
        <v>11762</v>
      </c>
      <c r="E51" s="2" t="s">
        <v>11763</v>
      </c>
      <c r="F51" s="2" t="s">
        <v>11764</v>
      </c>
      <c r="G51" s="2" t="s">
        <v>11765</v>
      </c>
      <c r="H51" s="2" t="s">
        <v>11766</v>
      </c>
      <c r="I51" s="8">
        <v>2</v>
      </c>
      <c r="J51" s="2" t="s">
        <v>11767</v>
      </c>
      <c r="K51" s="2"/>
      <c r="L51" s="2" t="s">
        <v>11434</v>
      </c>
      <c r="M51" s="2" t="s">
        <v>11759</v>
      </c>
      <c r="N51" s="2" t="s">
        <v>11768</v>
      </c>
      <c r="O51" s="2"/>
      <c r="P51" s="2"/>
      <c r="Q51" s="2"/>
    </row>
    <row r="52" spans="1:17" ht="13.2" customHeight="1" x14ac:dyDescent="0.25">
      <c r="A52" s="8" t="s">
        <v>10397</v>
      </c>
      <c r="B52" s="2" t="s">
        <v>11769</v>
      </c>
      <c r="C52" s="2"/>
      <c r="D52" s="2" t="s">
        <v>11770</v>
      </c>
      <c r="E52" s="2" t="s">
        <v>11771</v>
      </c>
      <c r="F52" s="2" t="s">
        <v>11772</v>
      </c>
      <c r="G52" s="2" t="s">
        <v>11773</v>
      </c>
      <c r="H52" s="2" t="s">
        <v>11774</v>
      </c>
      <c r="I52" s="8">
        <v>4</v>
      </c>
      <c r="J52" s="2" t="s">
        <v>11775</v>
      </c>
      <c r="K52" s="2"/>
      <c r="L52" s="2" t="s">
        <v>11434</v>
      </c>
      <c r="M52" s="2" t="s">
        <v>11759</v>
      </c>
      <c r="N52" s="2" t="s">
        <v>11776</v>
      </c>
      <c r="O52" s="2"/>
      <c r="P52" s="2"/>
      <c r="Q52" s="2"/>
    </row>
    <row r="53" spans="1:17" ht="13.2" customHeight="1" x14ac:dyDescent="0.25">
      <c r="A53" s="8" t="s">
        <v>10405</v>
      </c>
      <c r="B53" s="2" t="s">
        <v>11777</v>
      </c>
      <c r="C53" s="2"/>
      <c r="D53" s="2" t="s">
        <v>11778</v>
      </c>
      <c r="E53" s="2" t="s">
        <v>11779</v>
      </c>
      <c r="F53" s="2" t="s">
        <v>11780</v>
      </c>
      <c r="G53" s="2" t="s">
        <v>11781</v>
      </c>
      <c r="H53" s="2" t="s">
        <v>11782</v>
      </c>
      <c r="I53" s="8">
        <v>1</v>
      </c>
      <c r="J53" s="2" t="s">
        <v>11783</v>
      </c>
      <c r="K53" s="2"/>
      <c r="L53" s="2" t="s">
        <v>11434</v>
      </c>
      <c r="M53" s="2" t="s">
        <v>11759</v>
      </c>
      <c r="N53" s="2" t="s">
        <v>11784</v>
      </c>
      <c r="O53" s="2"/>
      <c r="P53" s="2"/>
      <c r="Q53" s="2"/>
    </row>
    <row r="54" spans="1:17" ht="13.2" customHeight="1" x14ac:dyDescent="0.25">
      <c r="A54" s="8" t="s">
        <v>10411</v>
      </c>
      <c r="B54" s="2" t="s">
        <v>11785</v>
      </c>
      <c r="C54" s="2"/>
      <c r="D54" s="2" t="s">
        <v>3524</v>
      </c>
      <c r="E54" s="2" t="s">
        <v>3181</v>
      </c>
      <c r="F54" s="2" t="s">
        <v>11786</v>
      </c>
      <c r="G54" s="2" t="s">
        <v>11787</v>
      </c>
      <c r="H54" s="2" t="s">
        <v>11788</v>
      </c>
      <c r="I54" s="8">
        <v>1</v>
      </c>
      <c r="J54" s="2" t="s">
        <v>11789</v>
      </c>
      <c r="K54" s="2"/>
      <c r="L54" s="2" t="s">
        <v>11434</v>
      </c>
      <c r="M54" s="2" t="s">
        <v>11759</v>
      </c>
      <c r="N54" s="2" t="s">
        <v>11790</v>
      </c>
      <c r="O54" s="2"/>
      <c r="P54" s="2"/>
      <c r="Q54" s="2"/>
    </row>
    <row r="55" spans="1:17" ht="13.2" customHeight="1" x14ac:dyDescent="0.25">
      <c r="A55" s="8" t="s">
        <v>10419</v>
      </c>
      <c r="B55" s="2" t="s">
        <v>11791</v>
      </c>
      <c r="C55" s="2"/>
      <c r="D55" s="2" t="s">
        <v>11792</v>
      </c>
      <c r="E55" s="2" t="s">
        <v>11793</v>
      </c>
      <c r="F55" s="2" t="s">
        <v>11794</v>
      </c>
      <c r="G55" s="2" t="s">
        <v>11795</v>
      </c>
      <c r="H55" s="2" t="s">
        <v>11796</v>
      </c>
      <c r="I55" s="8">
        <v>1</v>
      </c>
      <c r="J55" s="2" t="s">
        <v>11797</v>
      </c>
      <c r="K55" s="2"/>
      <c r="L55" s="2" t="s">
        <v>11434</v>
      </c>
      <c r="M55" s="2" t="s">
        <v>11759</v>
      </c>
      <c r="N55" s="2" t="s">
        <v>11798</v>
      </c>
      <c r="O55" s="2"/>
      <c r="P55" s="2"/>
      <c r="Q55" s="2"/>
    </row>
    <row r="56" spans="1:17" ht="13.2" customHeight="1" x14ac:dyDescent="0.25">
      <c r="A56" s="8" t="s">
        <v>10427</v>
      </c>
      <c r="B56" s="2" t="s">
        <v>11799</v>
      </c>
      <c r="C56" s="2"/>
      <c r="D56" s="2" t="s">
        <v>11759</v>
      </c>
      <c r="E56" s="2" t="s">
        <v>11800</v>
      </c>
      <c r="F56" s="2" t="s">
        <v>11801</v>
      </c>
      <c r="G56" s="2" t="s">
        <v>11773</v>
      </c>
      <c r="H56" s="2" t="s">
        <v>11757</v>
      </c>
      <c r="I56" s="8">
        <v>1</v>
      </c>
      <c r="J56" s="2" t="s">
        <v>11802</v>
      </c>
      <c r="K56" s="2"/>
      <c r="L56" s="2" t="s">
        <v>11434</v>
      </c>
      <c r="M56" s="2" t="s">
        <v>11759</v>
      </c>
      <c r="N56" s="2" t="s">
        <v>11803</v>
      </c>
      <c r="O56" s="2"/>
      <c r="P56" s="2"/>
    </row>
    <row r="57" spans="1:17" ht="13.2" customHeight="1" x14ac:dyDescent="0.25">
      <c r="A57" s="8" t="s">
        <v>10431</v>
      </c>
      <c r="B57" s="2" t="s">
        <v>11804</v>
      </c>
      <c r="C57" s="2"/>
      <c r="D57" s="2" t="s">
        <v>11759</v>
      </c>
      <c r="E57" s="2" t="s">
        <v>11757</v>
      </c>
      <c r="F57" s="2" t="s">
        <v>11805</v>
      </c>
      <c r="G57" s="2" t="s">
        <v>11806</v>
      </c>
      <c r="H57" s="2" t="s">
        <v>11455</v>
      </c>
      <c r="I57" s="8">
        <v>1</v>
      </c>
      <c r="J57" s="2" t="s">
        <v>11807</v>
      </c>
      <c r="K57" s="2"/>
      <c r="L57" s="2" t="s">
        <v>11434</v>
      </c>
      <c r="M57" s="2" t="s">
        <v>11759</v>
      </c>
      <c r="N57" s="2" t="s">
        <v>11808</v>
      </c>
      <c r="O57" s="2"/>
      <c r="P57" s="2"/>
    </row>
    <row r="58" spans="1:17" ht="13.2" customHeight="1" x14ac:dyDescent="0.25">
      <c r="A58" s="8" t="s">
        <v>10436</v>
      </c>
      <c r="B58" s="2" t="s">
        <v>11809</v>
      </c>
      <c r="C58" s="2"/>
      <c r="D58" s="2" t="s">
        <v>11759</v>
      </c>
      <c r="E58" s="2" t="s">
        <v>11455</v>
      </c>
      <c r="F58" s="2" t="s">
        <v>11810</v>
      </c>
      <c r="G58" s="2" t="s">
        <v>11811</v>
      </c>
      <c r="H58" s="2" t="s">
        <v>11812</v>
      </c>
      <c r="I58" s="8">
        <v>1</v>
      </c>
      <c r="J58" s="2" t="s">
        <v>11813</v>
      </c>
      <c r="K58" s="2"/>
      <c r="L58" s="2" t="s">
        <v>11434</v>
      </c>
      <c r="M58" s="2" t="s">
        <v>11759</v>
      </c>
      <c r="N58" s="2" t="s">
        <v>11814</v>
      </c>
      <c r="O58" s="2"/>
      <c r="P58" s="2"/>
    </row>
    <row r="59" spans="1:17" ht="13.2" customHeight="1" x14ac:dyDescent="0.25">
      <c r="A59" s="8" t="s">
        <v>10440</v>
      </c>
      <c r="B59" s="2" t="s">
        <v>11815</v>
      </c>
      <c r="C59" s="2"/>
      <c r="D59" s="2" t="s">
        <v>11759</v>
      </c>
      <c r="E59" s="2" t="s">
        <v>11812</v>
      </c>
      <c r="F59" s="2" t="s">
        <v>11816</v>
      </c>
      <c r="G59" s="2" t="s">
        <v>11800</v>
      </c>
      <c r="H59" s="2" t="s">
        <v>11801</v>
      </c>
      <c r="I59" s="8">
        <v>1</v>
      </c>
      <c r="J59" s="2" t="s">
        <v>11817</v>
      </c>
      <c r="K59" s="2"/>
      <c r="L59" s="2" t="s">
        <v>11434</v>
      </c>
      <c r="M59" s="2" t="s">
        <v>11759</v>
      </c>
      <c r="N59" s="2" t="s">
        <v>11818</v>
      </c>
      <c r="O59" s="2"/>
      <c r="P59" s="2"/>
    </row>
    <row r="60" spans="1:17" ht="13.2" customHeight="1" x14ac:dyDescent="0.25">
      <c r="A60" s="8" t="s">
        <v>10445</v>
      </c>
      <c r="B60" s="2" t="s">
        <v>11819</v>
      </c>
      <c r="C60" s="2"/>
      <c r="D60" s="2" t="s">
        <v>11759</v>
      </c>
      <c r="E60" s="2" t="s">
        <v>11801</v>
      </c>
      <c r="F60" s="2" t="s">
        <v>11773</v>
      </c>
      <c r="G60" s="2" t="s">
        <v>11757</v>
      </c>
      <c r="H60" s="2" t="s">
        <v>11805</v>
      </c>
      <c r="I60" s="8">
        <v>1</v>
      </c>
      <c r="J60" s="2" t="s">
        <v>11820</v>
      </c>
      <c r="K60" s="2"/>
      <c r="L60" s="2" t="s">
        <v>11434</v>
      </c>
      <c r="M60" s="2" t="s">
        <v>11759</v>
      </c>
      <c r="N60" s="2" t="s">
        <v>9770</v>
      </c>
      <c r="O60" s="2"/>
      <c r="P60" s="2"/>
    </row>
    <row r="61" spans="1:17" ht="13.2" customHeight="1" x14ac:dyDescent="0.25">
      <c r="A61" s="8" t="s">
        <v>10450</v>
      </c>
      <c r="B61" s="2" t="s">
        <v>11821</v>
      </c>
      <c r="C61" s="2"/>
      <c r="D61" s="2" t="s">
        <v>11822</v>
      </c>
      <c r="E61" s="2" t="s">
        <v>11823</v>
      </c>
      <c r="F61" s="2" t="s">
        <v>8750</v>
      </c>
      <c r="G61" s="2" t="s">
        <v>8750</v>
      </c>
      <c r="H61" s="2" t="s">
        <v>11824</v>
      </c>
      <c r="I61" s="8">
        <v>1</v>
      </c>
      <c r="J61" s="2" t="s">
        <v>11825</v>
      </c>
      <c r="K61" s="2"/>
      <c r="L61" s="2" t="s">
        <v>11434</v>
      </c>
      <c r="M61" s="2" t="s">
        <v>11759</v>
      </c>
      <c r="N61" s="2" t="s">
        <v>11826</v>
      </c>
      <c r="O61" s="2"/>
      <c r="P61" s="2"/>
      <c r="Q61" s="2"/>
    </row>
    <row r="62" spans="1:17" ht="13.2" customHeight="1" x14ac:dyDescent="0.25">
      <c r="A62" s="8" t="s">
        <v>10454</v>
      </c>
      <c r="B62" s="2" t="s">
        <v>11827</v>
      </c>
      <c r="C62" s="2"/>
      <c r="D62" s="2" t="s">
        <v>11828</v>
      </c>
      <c r="E62" s="2" t="s">
        <v>11829</v>
      </c>
      <c r="F62" s="2" t="s">
        <v>11830</v>
      </c>
      <c r="G62" s="2" t="s">
        <v>11831</v>
      </c>
      <c r="H62" s="2" t="s">
        <v>11832</v>
      </c>
      <c r="I62" s="8">
        <v>1</v>
      </c>
      <c r="J62" s="2" t="s">
        <v>11833</v>
      </c>
      <c r="K62" s="2"/>
      <c r="L62" s="2" t="s">
        <v>11434</v>
      </c>
      <c r="M62" s="2" t="s">
        <v>11759</v>
      </c>
      <c r="N62" s="2" t="s">
        <v>11834</v>
      </c>
      <c r="O62" s="2"/>
      <c r="P62" s="2"/>
      <c r="Q62" s="2"/>
    </row>
    <row r="63" spans="1:17" ht="13.2" customHeight="1" x14ac:dyDescent="0.25">
      <c r="A63" s="8" t="s">
        <v>10457</v>
      </c>
      <c r="B63" s="2" t="s">
        <v>11434</v>
      </c>
      <c r="C63" s="2"/>
      <c r="D63" s="2" t="s">
        <v>11759</v>
      </c>
      <c r="E63" s="2" t="s">
        <v>11816</v>
      </c>
      <c r="F63" s="2" t="s">
        <v>11800</v>
      </c>
      <c r="G63" s="2" t="s">
        <v>11801</v>
      </c>
      <c r="H63" s="2" t="s">
        <v>11773</v>
      </c>
      <c r="I63" s="8">
        <v>1</v>
      </c>
      <c r="J63" s="2" t="s">
        <v>11835</v>
      </c>
      <c r="K63" s="2"/>
      <c r="L63" s="2" t="s">
        <v>11434</v>
      </c>
      <c r="M63" s="2" t="s">
        <v>11759</v>
      </c>
      <c r="N63" s="2" t="s">
        <v>11836</v>
      </c>
      <c r="O63" s="2"/>
      <c r="P63" s="2"/>
    </row>
    <row r="64" spans="1:17" ht="13.2" customHeight="1" x14ac:dyDescent="0.25">
      <c r="A64" s="8" t="s">
        <v>10461</v>
      </c>
      <c r="B64" s="2" t="s">
        <v>11837</v>
      </c>
      <c r="C64" s="2"/>
      <c r="D64" s="2" t="s">
        <v>11759</v>
      </c>
      <c r="E64" s="2" t="s">
        <v>11773</v>
      </c>
      <c r="F64" s="2" t="s">
        <v>11757</v>
      </c>
      <c r="G64" s="2" t="s">
        <v>11805</v>
      </c>
      <c r="H64" s="2" t="s">
        <v>11806</v>
      </c>
      <c r="I64" s="8">
        <v>1</v>
      </c>
      <c r="J64" s="2" t="s">
        <v>11838</v>
      </c>
      <c r="K64" s="2"/>
      <c r="L64" s="2" t="s">
        <v>11434</v>
      </c>
      <c r="M64" s="2" t="s">
        <v>11759</v>
      </c>
      <c r="N64" s="2" t="s">
        <v>11839</v>
      </c>
      <c r="O64" s="2"/>
      <c r="P64" s="2"/>
    </row>
    <row r="65" spans="1:17" ht="13.2" customHeight="1" x14ac:dyDescent="0.25">
      <c r="A65" s="8" t="s">
        <v>10465</v>
      </c>
      <c r="B65" s="2" t="s">
        <v>11840</v>
      </c>
      <c r="C65" s="2"/>
      <c r="D65" s="2" t="s">
        <v>11841</v>
      </c>
      <c r="E65" s="2" t="s">
        <v>11842</v>
      </c>
      <c r="F65" s="2" t="s">
        <v>11843</v>
      </c>
      <c r="G65" s="2" t="s">
        <v>11844</v>
      </c>
      <c r="H65" s="2" t="s">
        <v>11845</v>
      </c>
      <c r="I65" s="8">
        <v>2</v>
      </c>
      <c r="J65" s="2" t="s">
        <v>11846</v>
      </c>
      <c r="K65" s="2"/>
      <c r="L65" s="2" t="s">
        <v>11434</v>
      </c>
      <c r="M65" s="2" t="s">
        <v>11759</v>
      </c>
      <c r="N65" s="2" t="s">
        <v>11847</v>
      </c>
      <c r="O65" s="2"/>
      <c r="P65" s="2"/>
      <c r="Q65" s="2"/>
    </row>
    <row r="66" spans="1:17" ht="13.2" customHeight="1" x14ac:dyDescent="0.25">
      <c r="A66" s="8" t="s">
        <v>10468</v>
      </c>
      <c r="B66" s="2" t="s">
        <v>11848</v>
      </c>
      <c r="C66" s="2"/>
      <c r="D66" s="2" t="s">
        <v>11759</v>
      </c>
      <c r="E66" s="2" t="s">
        <v>11849</v>
      </c>
      <c r="F66" s="2" t="s">
        <v>11850</v>
      </c>
      <c r="G66" s="2" t="s">
        <v>11851</v>
      </c>
      <c r="H66" s="2" t="s">
        <v>11800</v>
      </c>
      <c r="I66" s="8">
        <v>1</v>
      </c>
      <c r="J66" s="2" t="s">
        <v>11852</v>
      </c>
      <c r="K66" s="2"/>
      <c r="L66" s="2" t="s">
        <v>11434</v>
      </c>
      <c r="M66" s="2" t="s">
        <v>11759</v>
      </c>
      <c r="N66" s="2" t="s">
        <v>11853</v>
      </c>
      <c r="O66" s="2"/>
      <c r="P66" s="2"/>
    </row>
    <row r="67" spans="1:17" ht="13.2" customHeight="1" x14ac:dyDescent="0.25">
      <c r="A67" s="8" t="s">
        <v>10468</v>
      </c>
      <c r="B67" s="2" t="s">
        <v>11854</v>
      </c>
      <c r="C67" s="2"/>
      <c r="D67" s="2" t="s">
        <v>11855</v>
      </c>
      <c r="E67" s="2" t="s">
        <v>11856</v>
      </c>
      <c r="F67" s="2" t="s">
        <v>11857</v>
      </c>
      <c r="G67" s="2" t="s">
        <v>11858</v>
      </c>
      <c r="H67" s="2" t="s">
        <v>11859</v>
      </c>
      <c r="I67" s="8">
        <v>1</v>
      </c>
      <c r="J67" s="2" t="s">
        <v>11860</v>
      </c>
      <c r="K67" s="2"/>
      <c r="L67" s="2" t="s">
        <v>11434</v>
      </c>
      <c r="M67" s="2" t="s">
        <v>29</v>
      </c>
      <c r="N67" s="2" t="s">
        <v>11861</v>
      </c>
      <c r="O67" s="2"/>
      <c r="P67" s="2"/>
    </row>
    <row r="68" spans="1:17" ht="13.2" customHeight="1" x14ac:dyDescent="0.25">
      <c r="A68" s="8" t="s">
        <v>10470</v>
      </c>
      <c r="B68" s="2" t="s">
        <v>11862</v>
      </c>
      <c r="C68" s="2"/>
      <c r="D68" s="2" t="s">
        <v>11863</v>
      </c>
      <c r="E68" s="2" t="s">
        <v>11864</v>
      </c>
      <c r="F68" s="2" t="s">
        <v>11865</v>
      </c>
      <c r="G68" s="2" t="s">
        <v>11866</v>
      </c>
      <c r="H68" s="2" t="s">
        <v>11867</v>
      </c>
      <c r="I68" s="8">
        <v>1</v>
      </c>
      <c r="J68" s="2" t="s">
        <v>11868</v>
      </c>
      <c r="K68" s="2"/>
      <c r="L68" s="2" t="s">
        <v>11434</v>
      </c>
      <c r="M68" s="2" t="s">
        <v>29</v>
      </c>
      <c r="N68" s="2" t="s">
        <v>8852</v>
      </c>
      <c r="O68" s="2"/>
      <c r="P68" s="2"/>
    </row>
    <row r="69" spans="1:17" ht="13.2" customHeight="1" x14ac:dyDescent="0.25">
      <c r="A69" s="8" t="s">
        <v>10478</v>
      </c>
      <c r="B69" s="2" t="s">
        <v>11869</v>
      </c>
      <c r="C69" s="2"/>
      <c r="D69" s="2" t="s">
        <v>11870</v>
      </c>
      <c r="E69" s="2" t="s">
        <v>11871</v>
      </c>
      <c r="F69" s="2" t="s">
        <v>11872</v>
      </c>
      <c r="G69" s="2" t="s">
        <v>11873</v>
      </c>
      <c r="H69" s="2" t="s">
        <v>11874</v>
      </c>
      <c r="I69" s="8">
        <v>1</v>
      </c>
      <c r="J69" s="2" t="s">
        <v>11875</v>
      </c>
      <c r="K69" s="2"/>
      <c r="L69" s="2" t="s">
        <v>11434</v>
      </c>
      <c r="M69" s="2" t="s">
        <v>29</v>
      </c>
      <c r="N69" s="2" t="s">
        <v>11876</v>
      </c>
      <c r="O69" s="2"/>
      <c r="P69" s="2"/>
    </row>
    <row r="70" spans="1:17" ht="13.2" customHeight="1" x14ac:dyDescent="0.25">
      <c r="A70" s="8" t="s">
        <v>10481</v>
      </c>
      <c r="B70" s="2" t="s">
        <v>11877</v>
      </c>
      <c r="C70" s="2"/>
      <c r="D70" s="2" t="s">
        <v>11878</v>
      </c>
      <c r="E70" s="2" t="s">
        <v>11879</v>
      </c>
      <c r="F70" s="2" t="s">
        <v>11880</v>
      </c>
      <c r="G70" s="2" t="s">
        <v>11881</v>
      </c>
      <c r="H70" s="2" t="s">
        <v>11882</v>
      </c>
      <c r="I70" s="8">
        <v>1</v>
      </c>
      <c r="J70" s="2" t="s">
        <v>11883</v>
      </c>
      <c r="K70" s="2"/>
      <c r="L70" s="2" t="s">
        <v>11434</v>
      </c>
      <c r="M70" s="2" t="s">
        <v>29</v>
      </c>
      <c r="N70" s="2" t="s">
        <v>11884</v>
      </c>
      <c r="O70" s="2"/>
      <c r="P70" s="2"/>
    </row>
    <row r="71" spans="1:17" ht="13.2" customHeight="1" x14ac:dyDescent="0.25">
      <c r="A71" s="8" t="s">
        <v>10484</v>
      </c>
      <c r="B71" s="2" t="s">
        <v>11885</v>
      </c>
      <c r="C71" s="2"/>
      <c r="D71" s="2" t="s">
        <v>11886</v>
      </c>
      <c r="E71" s="2" t="s">
        <v>11887</v>
      </c>
      <c r="F71" s="2" t="s">
        <v>11888</v>
      </c>
      <c r="G71" s="2" t="s">
        <v>11889</v>
      </c>
      <c r="H71" s="2" t="s">
        <v>11890</v>
      </c>
      <c r="I71" s="8">
        <v>1</v>
      </c>
      <c r="J71" s="2" t="s">
        <v>11891</v>
      </c>
      <c r="K71" s="2"/>
      <c r="L71" s="2" t="s">
        <v>11434</v>
      </c>
      <c r="M71" s="2" t="s">
        <v>29</v>
      </c>
      <c r="N71" s="2" t="s">
        <v>11892</v>
      </c>
      <c r="O71" s="2"/>
      <c r="P71" s="2"/>
    </row>
    <row r="72" spans="1:17" ht="13.2" customHeight="1" x14ac:dyDescent="0.25">
      <c r="A72" s="8" t="s">
        <v>10488</v>
      </c>
      <c r="B72" s="2" t="s">
        <v>11893</v>
      </c>
      <c r="C72" s="2"/>
      <c r="D72" s="2" t="s">
        <v>6890</v>
      </c>
      <c r="E72" s="2" t="s">
        <v>11894</v>
      </c>
      <c r="F72" s="2" t="s">
        <v>11668</v>
      </c>
      <c r="G72" s="2" t="s">
        <v>11895</v>
      </c>
      <c r="H72" s="2" t="s">
        <v>6887</v>
      </c>
      <c r="I72" s="8">
        <v>1</v>
      </c>
      <c r="J72" s="2" t="s">
        <v>11896</v>
      </c>
      <c r="K72" s="2"/>
      <c r="L72" s="2" t="s">
        <v>11503</v>
      </c>
      <c r="M72" s="2" t="s">
        <v>29</v>
      </c>
      <c r="N72" s="2" t="s">
        <v>2222</v>
      </c>
      <c r="O72" s="2"/>
      <c r="P72" s="2"/>
    </row>
    <row r="73" spans="1:17" ht="13.2" customHeight="1" x14ac:dyDescent="0.25">
      <c r="A73" s="8" t="s">
        <v>10491</v>
      </c>
      <c r="B73" s="2" t="s">
        <v>11897</v>
      </c>
      <c r="C73" s="2"/>
      <c r="D73" s="2" t="s">
        <v>6887</v>
      </c>
      <c r="E73" s="2" t="s">
        <v>11429</v>
      </c>
      <c r="F73" s="2" t="s">
        <v>11898</v>
      </c>
      <c r="G73" s="2" t="s">
        <v>11899</v>
      </c>
      <c r="H73" s="2" t="s">
        <v>11900</v>
      </c>
      <c r="I73" s="8">
        <v>1</v>
      </c>
      <c r="J73" s="2" t="s">
        <v>11901</v>
      </c>
      <c r="K73" s="2"/>
      <c r="L73" s="2" t="s">
        <v>11434</v>
      </c>
      <c r="M73" s="2" t="s">
        <v>29</v>
      </c>
      <c r="N73" s="2" t="s">
        <v>2228</v>
      </c>
      <c r="O73" s="2"/>
      <c r="P73" s="2"/>
    </row>
    <row r="74" spans="1:17" ht="13.2" customHeight="1" x14ac:dyDescent="0.25">
      <c r="A74" s="8" t="s">
        <v>10494</v>
      </c>
      <c r="B74" s="2" t="s">
        <v>11902</v>
      </c>
      <c r="C74" s="2"/>
      <c r="D74" s="2" t="s">
        <v>11903</v>
      </c>
      <c r="E74" s="2" t="s">
        <v>11904</v>
      </c>
      <c r="F74" s="2" t="s">
        <v>11905</v>
      </c>
      <c r="G74" s="2" t="s">
        <v>11906</v>
      </c>
      <c r="H74" s="2" t="s">
        <v>11907</v>
      </c>
      <c r="I74" s="8">
        <v>1</v>
      </c>
      <c r="J74" s="2" t="s">
        <v>11908</v>
      </c>
      <c r="K74" s="2"/>
      <c r="L74" s="2" t="s">
        <v>11434</v>
      </c>
      <c r="M74" s="2" t="s">
        <v>29</v>
      </c>
      <c r="N74" s="2" t="s">
        <v>11909</v>
      </c>
      <c r="O74" s="2"/>
      <c r="P74" s="2"/>
    </row>
    <row r="75" spans="1:17" ht="13.2" customHeight="1" x14ac:dyDescent="0.25">
      <c r="A75" s="8" t="s">
        <v>10497</v>
      </c>
      <c r="B75" s="2" t="s">
        <v>11910</v>
      </c>
      <c r="C75" s="2"/>
      <c r="D75" s="2" t="s">
        <v>11911</v>
      </c>
      <c r="E75" s="2" t="s">
        <v>11912</v>
      </c>
      <c r="F75" s="2" t="s">
        <v>11913</v>
      </c>
      <c r="G75" s="2" t="s">
        <v>11914</v>
      </c>
      <c r="H75" s="2" t="s">
        <v>11915</v>
      </c>
      <c r="I75" s="8">
        <v>1</v>
      </c>
      <c r="J75" s="2" t="s">
        <v>11916</v>
      </c>
      <c r="K75" s="2"/>
      <c r="L75" s="2" t="s">
        <v>11434</v>
      </c>
      <c r="M75" s="2" t="s">
        <v>29</v>
      </c>
      <c r="N75" s="2" t="s">
        <v>11917</v>
      </c>
      <c r="O75" s="2"/>
      <c r="P75" s="2"/>
    </row>
    <row r="76" spans="1:17" ht="13.2" customHeight="1" x14ac:dyDescent="0.25">
      <c r="A76" s="8" t="s">
        <v>10500</v>
      </c>
      <c r="B76" s="2" t="s">
        <v>11918</v>
      </c>
      <c r="C76" s="2"/>
      <c r="D76" s="2" t="s">
        <v>6887</v>
      </c>
      <c r="E76" s="2" t="s">
        <v>6891</v>
      </c>
      <c r="F76" s="2" t="s">
        <v>11919</v>
      </c>
      <c r="G76" s="2" t="s">
        <v>11920</v>
      </c>
      <c r="H76" s="2" t="s">
        <v>6890</v>
      </c>
      <c r="I76" s="8">
        <v>1</v>
      </c>
      <c r="J76" s="2" t="s">
        <v>11921</v>
      </c>
      <c r="K76" s="2"/>
      <c r="L76" s="2" t="s">
        <v>11434</v>
      </c>
      <c r="M76" s="2" t="s">
        <v>29</v>
      </c>
      <c r="N76" s="2" t="s">
        <v>11922</v>
      </c>
      <c r="O76" s="2"/>
      <c r="P76" s="2"/>
    </row>
    <row r="77" spans="1:17" ht="13.2" customHeight="1" x14ac:dyDescent="0.25">
      <c r="A77" s="8" t="s">
        <v>10504</v>
      </c>
      <c r="B77" s="2" t="s">
        <v>11923</v>
      </c>
      <c r="C77" s="2"/>
      <c r="D77" s="2" t="s">
        <v>11924</v>
      </c>
      <c r="E77" s="2" t="s">
        <v>11925</v>
      </c>
      <c r="F77" s="2" t="s">
        <v>11926</v>
      </c>
      <c r="G77" s="2" t="s">
        <v>11927</v>
      </c>
      <c r="H77" s="2" t="s">
        <v>11928</v>
      </c>
      <c r="I77" s="8">
        <v>1</v>
      </c>
      <c r="J77" s="2" t="s">
        <v>11929</v>
      </c>
      <c r="K77" s="2"/>
      <c r="L77" s="2" t="s">
        <v>11434</v>
      </c>
      <c r="M77" s="2" t="s">
        <v>29</v>
      </c>
      <c r="N77" s="2" t="s">
        <v>11930</v>
      </c>
      <c r="O77" s="2"/>
      <c r="P77" s="2"/>
    </row>
    <row r="78" spans="1:17" ht="13.2" customHeight="1" x14ac:dyDescent="0.25">
      <c r="A78" s="8" t="s">
        <v>10507</v>
      </c>
      <c r="B78" s="2" t="s">
        <v>11931</v>
      </c>
      <c r="C78" s="2"/>
      <c r="D78" s="2" t="s">
        <v>11932</v>
      </c>
      <c r="E78" s="2" t="s">
        <v>11933</v>
      </c>
      <c r="F78" s="2" t="s">
        <v>11934</v>
      </c>
      <c r="G78" s="2" t="s">
        <v>11935</v>
      </c>
      <c r="H78" s="2" t="s">
        <v>11936</v>
      </c>
      <c r="I78" s="8">
        <v>1</v>
      </c>
      <c r="J78" s="2" t="s">
        <v>11937</v>
      </c>
      <c r="K78" s="2"/>
      <c r="L78" s="2" t="s">
        <v>11434</v>
      </c>
      <c r="M78" s="2" t="s">
        <v>29</v>
      </c>
      <c r="N78" s="2" t="s">
        <v>11938</v>
      </c>
      <c r="O78" s="2"/>
      <c r="P78" s="2"/>
    </row>
    <row r="79" spans="1:17" ht="13.2" customHeight="1" x14ac:dyDescent="0.25">
      <c r="A79" s="8" t="s">
        <v>10510</v>
      </c>
      <c r="B79" s="2" t="s">
        <v>11939</v>
      </c>
      <c r="C79" s="2"/>
      <c r="D79" s="2" t="s">
        <v>11940</v>
      </c>
      <c r="E79" s="2" t="s">
        <v>11941</v>
      </c>
      <c r="F79" s="2" t="s">
        <v>11942</v>
      </c>
      <c r="G79" s="2" t="s">
        <v>11943</v>
      </c>
      <c r="H79" s="2" t="s">
        <v>11944</v>
      </c>
      <c r="I79" s="8">
        <v>1</v>
      </c>
      <c r="J79" s="2" t="s">
        <v>11945</v>
      </c>
      <c r="K79" s="2"/>
      <c r="L79" s="2" t="s">
        <v>11434</v>
      </c>
      <c r="M79" s="2" t="s">
        <v>29</v>
      </c>
      <c r="N79" s="2" t="s">
        <v>4908</v>
      </c>
      <c r="O79" s="2"/>
      <c r="P79" s="2"/>
    </row>
    <row r="80" spans="1:17" ht="13.2" customHeight="1" x14ac:dyDescent="0.25">
      <c r="A80" s="8" t="s">
        <v>10517</v>
      </c>
      <c r="B80" s="2" t="s">
        <v>11946</v>
      </c>
      <c r="C80" s="2"/>
      <c r="D80" s="2" t="s">
        <v>11806</v>
      </c>
      <c r="E80" s="2" t="s">
        <v>11455</v>
      </c>
      <c r="F80" s="2" t="s">
        <v>11810</v>
      </c>
      <c r="G80" s="2" t="s">
        <v>11811</v>
      </c>
      <c r="H80" s="2" t="s">
        <v>11812</v>
      </c>
      <c r="I80" s="8">
        <v>1</v>
      </c>
      <c r="J80" s="2" t="s">
        <v>11947</v>
      </c>
      <c r="K80" s="2"/>
      <c r="L80" s="2" t="s">
        <v>11434</v>
      </c>
      <c r="M80" s="2" t="s">
        <v>29</v>
      </c>
      <c r="N80" s="2" t="s">
        <v>4916</v>
      </c>
      <c r="O80" s="2"/>
      <c r="P80" s="2"/>
    </row>
    <row r="81" spans="1:16" ht="13.2" customHeight="1" x14ac:dyDescent="0.25">
      <c r="A81" s="8" t="s">
        <v>10520</v>
      </c>
      <c r="B81" s="2" t="s">
        <v>11948</v>
      </c>
      <c r="C81" s="2"/>
      <c r="D81" s="2" t="s">
        <v>11555</v>
      </c>
      <c r="E81" s="2" t="s">
        <v>11949</v>
      </c>
      <c r="F81" s="2" t="s">
        <v>11950</v>
      </c>
      <c r="G81" s="2" t="s">
        <v>11951</v>
      </c>
      <c r="H81" s="2" t="s">
        <v>11952</v>
      </c>
      <c r="I81" s="8">
        <v>1</v>
      </c>
      <c r="J81" s="2" t="s">
        <v>11953</v>
      </c>
      <c r="K81" s="2"/>
      <c r="L81" s="2" t="s">
        <v>11434</v>
      </c>
      <c r="M81" s="2" t="s">
        <v>29</v>
      </c>
      <c r="N81" s="2" t="s">
        <v>11954</v>
      </c>
      <c r="O81" s="2"/>
      <c r="P81" s="2"/>
    </row>
    <row r="82" spans="1:16" ht="13.2" customHeight="1" x14ac:dyDescent="0.25">
      <c r="A82" s="8" t="s">
        <v>10523</v>
      </c>
      <c r="B82" s="2" t="s">
        <v>11955</v>
      </c>
      <c r="C82" s="2"/>
      <c r="D82" s="2" t="s">
        <v>11956</v>
      </c>
      <c r="E82" s="2" t="s">
        <v>11957</v>
      </c>
      <c r="F82" s="2" t="s">
        <v>11958</v>
      </c>
      <c r="G82" s="2" t="s">
        <v>11959</v>
      </c>
      <c r="H82" s="2" t="s">
        <v>799</v>
      </c>
      <c r="I82" s="8">
        <v>1</v>
      </c>
      <c r="J82" s="2" t="s">
        <v>11960</v>
      </c>
      <c r="K82" s="2"/>
      <c r="L82" s="2" t="s">
        <v>11434</v>
      </c>
      <c r="M82" s="2" t="s">
        <v>29</v>
      </c>
      <c r="N82" s="2" t="s">
        <v>11961</v>
      </c>
      <c r="O82" s="2"/>
      <c r="P82" s="2"/>
    </row>
    <row r="83" spans="1:16" ht="13.2" customHeight="1" x14ac:dyDescent="0.25">
      <c r="A83" s="8" t="s">
        <v>10526</v>
      </c>
      <c r="B83" s="2" t="s">
        <v>11962</v>
      </c>
      <c r="C83" s="2"/>
      <c r="D83" s="2" t="s">
        <v>11963</v>
      </c>
      <c r="E83" s="2" t="s">
        <v>11964</v>
      </c>
      <c r="F83" s="2" t="s">
        <v>11965</v>
      </c>
      <c r="G83" s="2" t="s">
        <v>11966</v>
      </c>
      <c r="H83" s="2" t="s">
        <v>781</v>
      </c>
      <c r="I83" s="8">
        <v>1</v>
      </c>
      <c r="J83" s="2" t="s">
        <v>11967</v>
      </c>
      <c r="K83" s="2"/>
      <c r="L83" s="2" t="s">
        <v>11434</v>
      </c>
      <c r="M83" s="2" t="s">
        <v>29</v>
      </c>
      <c r="N83" s="2" t="s">
        <v>11968</v>
      </c>
      <c r="O83" s="2"/>
      <c r="P83" s="2"/>
    </row>
    <row r="84" spans="1:16" ht="13.2" customHeight="1" x14ac:dyDescent="0.25">
      <c r="A84" s="8" t="s">
        <v>10531</v>
      </c>
      <c r="B84" s="2" t="s">
        <v>11969</v>
      </c>
      <c r="C84" s="2"/>
      <c r="D84" s="2" t="s">
        <v>11919</v>
      </c>
      <c r="E84" s="2" t="s">
        <v>6891</v>
      </c>
      <c r="F84" s="2" t="s">
        <v>6890</v>
      </c>
      <c r="G84" s="2" t="s">
        <v>11970</v>
      </c>
      <c r="H84" s="2" t="s">
        <v>11971</v>
      </c>
      <c r="I84" s="8">
        <v>1</v>
      </c>
      <c r="J84" s="2" t="s">
        <v>11972</v>
      </c>
      <c r="K84" s="2"/>
      <c r="L84" s="2" t="s">
        <v>11434</v>
      </c>
      <c r="M84" s="2" t="s">
        <v>29</v>
      </c>
      <c r="N84" s="2" t="s">
        <v>11973</v>
      </c>
      <c r="O84" s="2"/>
      <c r="P84" s="2"/>
    </row>
    <row r="85" spans="1:16" ht="13.2" customHeight="1" x14ac:dyDescent="0.25">
      <c r="A85" s="8" t="s">
        <v>10534</v>
      </c>
      <c r="B85" s="2" t="s">
        <v>11974</v>
      </c>
      <c r="C85" s="2"/>
      <c r="D85" s="2" t="s">
        <v>11812</v>
      </c>
      <c r="E85" s="2" t="s">
        <v>11816</v>
      </c>
      <c r="F85" s="2" t="s">
        <v>11800</v>
      </c>
      <c r="G85" s="2" t="s">
        <v>11801</v>
      </c>
      <c r="H85" s="2" t="s">
        <v>11773</v>
      </c>
      <c r="I85" s="8">
        <v>1</v>
      </c>
      <c r="J85" s="2" t="s">
        <v>11975</v>
      </c>
      <c r="K85" s="2"/>
      <c r="L85" s="2" t="s">
        <v>11434</v>
      </c>
      <c r="M85" s="2" t="s">
        <v>29</v>
      </c>
      <c r="N85" s="2" t="s">
        <v>11976</v>
      </c>
      <c r="O85" s="2"/>
      <c r="P85" s="2"/>
    </row>
    <row r="86" spans="1:16" ht="13.2" customHeight="1" x14ac:dyDescent="0.25">
      <c r="A86" s="8" t="s">
        <v>10537</v>
      </c>
      <c r="B86" s="2" t="s">
        <v>11977</v>
      </c>
      <c r="C86" s="2"/>
      <c r="D86" s="2" t="s">
        <v>11801</v>
      </c>
      <c r="E86" s="2" t="s">
        <v>11773</v>
      </c>
      <c r="F86" s="2" t="s">
        <v>11757</v>
      </c>
      <c r="G86" s="2" t="s">
        <v>11805</v>
      </c>
      <c r="H86" s="2" t="s">
        <v>11806</v>
      </c>
      <c r="I86" s="8">
        <v>1</v>
      </c>
      <c r="J86" s="2" t="s">
        <v>11978</v>
      </c>
      <c r="K86" s="2"/>
      <c r="L86" s="2" t="s">
        <v>11503</v>
      </c>
      <c r="M86" s="2" t="s">
        <v>29</v>
      </c>
      <c r="N86" s="2" t="s">
        <v>11979</v>
      </c>
      <c r="O86" s="2"/>
      <c r="P86" s="2"/>
    </row>
    <row r="87" spans="1:16" ht="13.2" customHeight="1" x14ac:dyDescent="0.25">
      <c r="A87" s="8" t="s">
        <v>10540</v>
      </c>
      <c r="B87" s="2" t="s">
        <v>11980</v>
      </c>
      <c r="C87" s="2"/>
      <c r="D87" s="2" t="s">
        <v>9325</v>
      </c>
      <c r="E87" s="2" t="s">
        <v>11429</v>
      </c>
      <c r="F87" s="2" t="s">
        <v>11981</v>
      </c>
      <c r="G87" s="2" t="s">
        <v>11982</v>
      </c>
      <c r="H87" s="2" t="s">
        <v>11983</v>
      </c>
      <c r="I87" s="8">
        <v>1</v>
      </c>
      <c r="J87" s="2" t="s">
        <v>11984</v>
      </c>
      <c r="K87" s="2"/>
      <c r="L87" s="2" t="s">
        <v>11434</v>
      </c>
      <c r="M87" s="2" t="s">
        <v>29</v>
      </c>
      <c r="N87" s="2" t="s">
        <v>11985</v>
      </c>
      <c r="O87" s="2"/>
      <c r="P87" s="2"/>
    </row>
    <row r="88" spans="1:16" ht="13.2" customHeight="1" x14ac:dyDescent="0.25">
      <c r="A88" s="8" t="s">
        <v>10544</v>
      </c>
      <c r="B88" s="2" t="s">
        <v>11986</v>
      </c>
      <c r="C88" s="2"/>
      <c r="D88" s="2" t="s">
        <v>11987</v>
      </c>
      <c r="E88" s="2" t="s">
        <v>11988</v>
      </c>
      <c r="F88" s="2" t="s">
        <v>11989</v>
      </c>
      <c r="G88" s="2" t="s">
        <v>11990</v>
      </c>
      <c r="H88" s="2" t="s">
        <v>11991</v>
      </c>
      <c r="I88" s="8">
        <v>1</v>
      </c>
      <c r="J88" s="2" t="s">
        <v>11992</v>
      </c>
      <c r="K88" s="2"/>
      <c r="L88" s="2" t="s">
        <v>11434</v>
      </c>
      <c r="M88" s="2" t="s">
        <v>29</v>
      </c>
      <c r="N88" s="2" t="s">
        <v>11993</v>
      </c>
      <c r="O88" s="2"/>
      <c r="P88" s="2"/>
    </row>
    <row r="89" spans="1:16" ht="13.2" customHeight="1" x14ac:dyDescent="0.25">
      <c r="A89" s="8" t="s">
        <v>10552</v>
      </c>
      <c r="B89" s="2" t="s">
        <v>11994</v>
      </c>
      <c r="C89" s="2"/>
      <c r="D89" s="2" t="s">
        <v>11995</v>
      </c>
      <c r="E89" s="2" t="s">
        <v>11996</v>
      </c>
      <c r="F89" s="2" t="s">
        <v>11997</v>
      </c>
      <c r="G89" s="2" t="s">
        <v>11998</v>
      </c>
      <c r="H89" s="2" t="s">
        <v>11999</v>
      </c>
      <c r="I89" s="8">
        <v>1</v>
      </c>
      <c r="J89" s="2" t="s">
        <v>12000</v>
      </c>
      <c r="K89" s="2"/>
      <c r="L89" s="2" t="s">
        <v>11434</v>
      </c>
      <c r="M89" s="2" t="s">
        <v>29</v>
      </c>
      <c r="N89" s="2" t="s">
        <v>12001</v>
      </c>
      <c r="O89" s="2"/>
      <c r="P89" s="2"/>
    </row>
    <row r="90" spans="1:16" ht="13.2" customHeight="1" x14ac:dyDescent="0.25">
      <c r="A90" s="8" t="s">
        <v>10555</v>
      </c>
      <c r="B90" s="2" t="s">
        <v>12002</v>
      </c>
      <c r="C90" s="2"/>
      <c r="D90" s="2" t="s">
        <v>2965</v>
      </c>
      <c r="E90" s="2" t="s">
        <v>12003</v>
      </c>
      <c r="F90" s="2" t="s">
        <v>6522</v>
      </c>
      <c r="G90" s="2" t="s">
        <v>2967</v>
      </c>
      <c r="H90" s="2" t="s">
        <v>12004</v>
      </c>
      <c r="I90" s="8">
        <v>1</v>
      </c>
      <c r="J90" s="2" t="s">
        <v>12005</v>
      </c>
      <c r="K90" s="2"/>
      <c r="L90" s="2" t="s">
        <v>11434</v>
      </c>
      <c r="M90" s="2" t="s">
        <v>29</v>
      </c>
      <c r="N90" s="2" t="s">
        <v>12006</v>
      </c>
      <c r="O90" s="2"/>
      <c r="P90" s="2"/>
    </row>
    <row r="91" spans="1:16" ht="13.2" customHeight="1" x14ac:dyDescent="0.25">
      <c r="A91" s="8" t="s">
        <v>10558</v>
      </c>
      <c r="B91" s="2" t="s">
        <v>3930</v>
      </c>
      <c r="C91" s="2"/>
      <c r="D91" s="2" t="s">
        <v>11806</v>
      </c>
      <c r="E91" s="2" t="s">
        <v>11455</v>
      </c>
      <c r="F91" s="2" t="s">
        <v>11810</v>
      </c>
      <c r="G91" s="2" t="s">
        <v>11811</v>
      </c>
      <c r="H91" s="2" t="s">
        <v>11812</v>
      </c>
      <c r="I91" s="8">
        <v>1</v>
      </c>
      <c r="J91" s="2" t="s">
        <v>11947</v>
      </c>
      <c r="K91" s="2"/>
      <c r="L91" s="2" t="s">
        <v>11434</v>
      </c>
      <c r="M91" s="2" t="s">
        <v>29</v>
      </c>
      <c r="N91" s="2" t="s">
        <v>7452</v>
      </c>
      <c r="O91" s="2"/>
      <c r="P91" s="2"/>
    </row>
    <row r="92" spans="1:16" ht="13.2" customHeight="1" x14ac:dyDescent="0.25">
      <c r="A92" s="8" t="s">
        <v>10566</v>
      </c>
      <c r="B92" s="2" t="s">
        <v>12007</v>
      </c>
      <c r="C92" s="2"/>
      <c r="D92" s="2" t="s">
        <v>11811</v>
      </c>
      <c r="E92" s="2" t="s">
        <v>11812</v>
      </c>
      <c r="F92" s="2" t="s">
        <v>11816</v>
      </c>
      <c r="G92" s="2" t="s">
        <v>11800</v>
      </c>
      <c r="H92" s="2" t="s">
        <v>11801</v>
      </c>
      <c r="I92" s="8">
        <v>1</v>
      </c>
      <c r="J92" s="2" t="s">
        <v>12008</v>
      </c>
      <c r="K92" s="2"/>
      <c r="L92" s="2" t="s">
        <v>11434</v>
      </c>
      <c r="M92" s="2" t="s">
        <v>29</v>
      </c>
      <c r="N92" s="2" t="s">
        <v>9020</v>
      </c>
      <c r="O92" s="2"/>
      <c r="P92" s="2"/>
    </row>
    <row r="93" spans="1:16" ht="13.2" customHeight="1" x14ac:dyDescent="0.25">
      <c r="A93" s="8" t="s">
        <v>10569</v>
      </c>
      <c r="B93" s="2" t="s">
        <v>12009</v>
      </c>
      <c r="C93" s="2"/>
      <c r="D93" s="2" t="s">
        <v>11800</v>
      </c>
      <c r="E93" s="2" t="s">
        <v>11801</v>
      </c>
      <c r="F93" s="2" t="s">
        <v>11773</v>
      </c>
      <c r="G93" s="2" t="s">
        <v>11757</v>
      </c>
      <c r="H93" s="2" t="s">
        <v>11805</v>
      </c>
      <c r="I93" s="8">
        <v>1</v>
      </c>
      <c r="J93" s="2" t="s">
        <v>12010</v>
      </c>
      <c r="K93" s="2"/>
      <c r="L93" s="2" t="s">
        <v>11434</v>
      </c>
      <c r="M93" s="2" t="s">
        <v>29</v>
      </c>
      <c r="N93" s="2" t="s">
        <v>7452</v>
      </c>
      <c r="O93" s="2"/>
      <c r="P93" s="2"/>
    </row>
    <row r="94" spans="1:16" ht="13.2" customHeight="1" x14ac:dyDescent="0.25">
      <c r="A94" s="8" t="s">
        <v>10572</v>
      </c>
      <c r="B94" s="2" t="s">
        <v>12011</v>
      </c>
      <c r="C94" s="2"/>
      <c r="D94" s="2" t="s">
        <v>11757</v>
      </c>
      <c r="E94" s="2" t="s">
        <v>11805</v>
      </c>
      <c r="F94" s="2" t="s">
        <v>11806</v>
      </c>
      <c r="G94" s="2" t="s">
        <v>11455</v>
      </c>
      <c r="H94" s="2" t="s">
        <v>11810</v>
      </c>
      <c r="I94" s="8">
        <v>1</v>
      </c>
      <c r="J94" s="2" t="s">
        <v>12012</v>
      </c>
      <c r="K94" s="2"/>
      <c r="L94" s="2" t="s">
        <v>11434</v>
      </c>
      <c r="M94" s="2" t="s">
        <v>29</v>
      </c>
      <c r="N94" s="2" t="s">
        <v>3603</v>
      </c>
      <c r="O94" s="2"/>
      <c r="P94" s="2"/>
    </row>
    <row r="95" spans="1:16" ht="13.2" customHeight="1" x14ac:dyDescent="0.25">
      <c r="A95" s="8" t="s">
        <v>10575</v>
      </c>
      <c r="B95" s="2" t="s">
        <v>12013</v>
      </c>
      <c r="C95" s="2"/>
      <c r="D95" s="2" t="s">
        <v>11455</v>
      </c>
      <c r="E95" s="2" t="s">
        <v>11810</v>
      </c>
      <c r="F95" s="2" t="s">
        <v>11811</v>
      </c>
      <c r="G95" s="2" t="s">
        <v>11812</v>
      </c>
      <c r="H95" s="2" t="s">
        <v>11816</v>
      </c>
      <c r="I95" s="8">
        <v>1</v>
      </c>
      <c r="J95" s="2" t="s">
        <v>12014</v>
      </c>
      <c r="K95" s="2"/>
      <c r="L95" s="2" t="s">
        <v>11503</v>
      </c>
      <c r="M95" s="2" t="s">
        <v>29</v>
      </c>
      <c r="N95" s="2" t="s">
        <v>6873</v>
      </c>
      <c r="O95" s="2"/>
      <c r="P95" s="2"/>
    </row>
    <row r="96" spans="1:16" ht="13.2" customHeight="1" x14ac:dyDescent="0.25">
      <c r="A96" s="8" t="s">
        <v>10583</v>
      </c>
      <c r="B96" s="2" t="s">
        <v>12015</v>
      </c>
      <c r="C96" s="2"/>
      <c r="D96" s="2" t="s">
        <v>11812</v>
      </c>
      <c r="E96" s="2" t="s">
        <v>11816</v>
      </c>
      <c r="F96" s="2" t="s">
        <v>11800</v>
      </c>
      <c r="G96" s="2" t="s">
        <v>11801</v>
      </c>
      <c r="H96" s="2" t="s">
        <v>11773</v>
      </c>
      <c r="I96" s="8">
        <v>1</v>
      </c>
      <c r="J96" s="2" t="s">
        <v>12016</v>
      </c>
      <c r="K96" s="2"/>
      <c r="L96" s="2" t="s">
        <v>11503</v>
      </c>
      <c r="M96" s="2" t="s">
        <v>29</v>
      </c>
      <c r="N96" s="2" t="s">
        <v>9020</v>
      </c>
      <c r="O96" s="2"/>
      <c r="P96" s="2"/>
    </row>
    <row r="97" spans="1:16" ht="13.2" customHeight="1" x14ac:dyDescent="0.25">
      <c r="A97" s="8" t="s">
        <v>10586</v>
      </c>
      <c r="B97" s="2" t="s">
        <v>12017</v>
      </c>
      <c r="C97" s="2"/>
      <c r="D97" s="2" t="s">
        <v>11801</v>
      </c>
      <c r="E97" s="2" t="s">
        <v>11773</v>
      </c>
      <c r="F97" s="2" t="s">
        <v>11757</v>
      </c>
      <c r="G97" s="2" t="s">
        <v>11805</v>
      </c>
      <c r="H97" s="2" t="s">
        <v>11806</v>
      </c>
      <c r="I97" s="8">
        <v>1</v>
      </c>
      <c r="J97" s="2" t="s">
        <v>12018</v>
      </c>
      <c r="K97" s="2"/>
      <c r="L97" s="2" t="s">
        <v>11434</v>
      </c>
      <c r="M97" s="2" t="s">
        <v>29</v>
      </c>
      <c r="N97" s="2" t="s">
        <v>12019</v>
      </c>
      <c r="O97" s="2"/>
      <c r="P97" s="2"/>
    </row>
    <row r="98" spans="1:16" ht="13.2" customHeight="1" x14ac:dyDescent="0.25">
      <c r="A98" s="8" t="s">
        <v>10590</v>
      </c>
      <c r="B98" s="2" t="s">
        <v>12020</v>
      </c>
      <c r="C98" s="2"/>
      <c r="D98" s="2" t="s">
        <v>11805</v>
      </c>
      <c r="E98" s="2" t="s">
        <v>11806</v>
      </c>
      <c r="F98" s="2" t="s">
        <v>11455</v>
      </c>
      <c r="G98" s="2" t="s">
        <v>11810</v>
      </c>
      <c r="H98" s="2" t="s">
        <v>11811</v>
      </c>
      <c r="I98" s="8">
        <v>1</v>
      </c>
      <c r="J98" s="2" t="s">
        <v>12021</v>
      </c>
      <c r="K98" s="2"/>
      <c r="L98" s="2" t="s">
        <v>11434</v>
      </c>
      <c r="M98" s="2" t="s">
        <v>29</v>
      </c>
      <c r="N98" s="2" t="s">
        <v>9897</v>
      </c>
      <c r="O98" s="2"/>
      <c r="P98" s="2"/>
    </row>
    <row r="99" spans="1:16" ht="13.2" customHeight="1" x14ac:dyDescent="0.25">
      <c r="A99" s="8" t="s">
        <v>10593</v>
      </c>
      <c r="B99" s="2" t="s">
        <v>12022</v>
      </c>
      <c r="C99" s="2"/>
      <c r="D99" s="2" t="s">
        <v>11810</v>
      </c>
      <c r="E99" s="2" t="s">
        <v>11811</v>
      </c>
      <c r="F99" s="2" t="s">
        <v>11812</v>
      </c>
      <c r="G99" s="2" t="s">
        <v>11816</v>
      </c>
      <c r="H99" s="2" t="s">
        <v>11800</v>
      </c>
      <c r="I99" s="8">
        <v>1</v>
      </c>
      <c r="J99" s="2" t="s">
        <v>12023</v>
      </c>
      <c r="K99" s="2"/>
      <c r="L99" s="2" t="s">
        <v>11434</v>
      </c>
      <c r="M99" s="2" t="s">
        <v>29</v>
      </c>
      <c r="N99" s="2" t="s">
        <v>3699</v>
      </c>
      <c r="O99" s="2"/>
      <c r="P99" s="2"/>
    </row>
    <row r="100" spans="1:16" ht="13.2" customHeight="1" x14ac:dyDescent="0.25">
      <c r="A100" s="8" t="s">
        <v>10601</v>
      </c>
      <c r="B100" s="2" t="s">
        <v>12024</v>
      </c>
      <c r="C100" s="2"/>
      <c r="D100" s="2" t="s">
        <v>12025</v>
      </c>
      <c r="E100" s="2" t="s">
        <v>2725</v>
      </c>
      <c r="F100" s="2" t="s">
        <v>9133</v>
      </c>
      <c r="G100" s="2" t="s">
        <v>2721</v>
      </c>
      <c r="H100" s="2" t="s">
        <v>11757</v>
      </c>
      <c r="I100" s="8">
        <v>1</v>
      </c>
      <c r="J100" s="2" t="s">
        <v>12026</v>
      </c>
      <c r="K100" s="2"/>
      <c r="L100" s="2" t="s">
        <v>11434</v>
      </c>
      <c r="M100" s="2" t="s">
        <v>29</v>
      </c>
      <c r="N100" s="2" t="s">
        <v>6202</v>
      </c>
      <c r="O100" s="2"/>
      <c r="P100" s="2"/>
    </row>
    <row r="101" spans="1:16" ht="13.2" customHeight="1" x14ac:dyDescent="0.25">
      <c r="A101" s="8" t="s">
        <v>10604</v>
      </c>
      <c r="B101" s="2" t="s">
        <v>12027</v>
      </c>
      <c r="C101" s="2"/>
      <c r="D101" s="2" t="s">
        <v>12028</v>
      </c>
      <c r="E101" s="2" t="s">
        <v>12029</v>
      </c>
      <c r="F101" s="2" t="s">
        <v>12030</v>
      </c>
      <c r="G101" s="2" t="s">
        <v>12031</v>
      </c>
      <c r="H101" s="2" t="s">
        <v>12032</v>
      </c>
      <c r="I101" s="8">
        <v>1</v>
      </c>
      <c r="J101" s="2" t="s">
        <v>12033</v>
      </c>
      <c r="K101" s="2"/>
      <c r="L101" s="2" t="s">
        <v>11503</v>
      </c>
      <c r="M101" s="2" t="s">
        <v>29</v>
      </c>
      <c r="N101" s="2" t="s">
        <v>5030</v>
      </c>
      <c r="O101" s="2"/>
      <c r="P101" s="2"/>
    </row>
    <row r="102" spans="1:16" ht="13.2" customHeight="1" x14ac:dyDescent="0.25">
      <c r="A102" s="8" t="s">
        <v>8863</v>
      </c>
      <c r="B102" s="2" t="s">
        <v>12034</v>
      </c>
      <c r="C102" s="2"/>
      <c r="D102" s="2" t="s">
        <v>12035</v>
      </c>
      <c r="E102" s="2" t="s">
        <v>12036</v>
      </c>
      <c r="F102" s="2" t="s">
        <v>12037</v>
      </c>
      <c r="G102" s="2" t="s">
        <v>12038</v>
      </c>
      <c r="H102" s="2" t="s">
        <v>12039</v>
      </c>
      <c r="I102" s="8">
        <v>1</v>
      </c>
      <c r="J102" s="2" t="s">
        <v>12040</v>
      </c>
      <c r="K102" s="2"/>
      <c r="L102" s="2" t="s">
        <v>11434</v>
      </c>
      <c r="M102" s="2" t="s">
        <v>29</v>
      </c>
      <c r="N102" s="2" t="s">
        <v>9135</v>
      </c>
      <c r="O102" s="2"/>
      <c r="P102" s="2"/>
    </row>
    <row r="103" spans="1:16" ht="13.2" customHeight="1" x14ac:dyDescent="0.25">
      <c r="A103" s="8" t="s">
        <v>10609</v>
      </c>
      <c r="B103" s="2" t="s">
        <v>12041</v>
      </c>
      <c r="C103" s="2"/>
      <c r="D103" s="2" t="s">
        <v>12042</v>
      </c>
      <c r="E103" s="2" t="s">
        <v>12043</v>
      </c>
      <c r="F103" s="2" t="s">
        <v>12044</v>
      </c>
      <c r="G103" s="2" t="s">
        <v>12045</v>
      </c>
      <c r="H103" s="2" t="s">
        <v>11801</v>
      </c>
      <c r="I103" s="8">
        <v>1</v>
      </c>
      <c r="J103" s="2" t="s">
        <v>12046</v>
      </c>
      <c r="K103" s="2"/>
      <c r="L103" s="2" t="s">
        <v>11434</v>
      </c>
      <c r="M103" s="2" t="s">
        <v>29</v>
      </c>
      <c r="N103" s="2" t="s">
        <v>6202</v>
      </c>
      <c r="O103" s="2"/>
      <c r="P103" s="2"/>
    </row>
    <row r="104" spans="1:16" ht="13.2" customHeight="1" x14ac:dyDescent="0.25">
      <c r="A104" s="8" t="s">
        <v>10618</v>
      </c>
      <c r="B104" s="2" t="s">
        <v>12047</v>
      </c>
      <c r="C104" s="2"/>
      <c r="D104" s="2" t="s">
        <v>11800</v>
      </c>
      <c r="E104" s="2" t="s">
        <v>11801</v>
      </c>
      <c r="F104" s="2" t="s">
        <v>11773</v>
      </c>
      <c r="G104" s="2" t="s">
        <v>11757</v>
      </c>
      <c r="H104" s="2" t="s">
        <v>11805</v>
      </c>
      <c r="I104" s="8">
        <v>1</v>
      </c>
      <c r="J104" s="2" t="s">
        <v>12010</v>
      </c>
      <c r="K104" s="2"/>
      <c r="L104" s="2" t="s">
        <v>11434</v>
      </c>
      <c r="M104" s="2" t="s">
        <v>29</v>
      </c>
      <c r="N104" s="2" t="s">
        <v>2540</v>
      </c>
      <c r="O104" s="2"/>
      <c r="P104" s="2"/>
    </row>
    <row r="105" spans="1:16" ht="13.2" customHeight="1" x14ac:dyDescent="0.25">
      <c r="A105" s="8" t="s">
        <v>10622</v>
      </c>
      <c r="B105" s="2" t="s">
        <v>12048</v>
      </c>
      <c r="C105" s="2"/>
      <c r="D105" s="2" t="s">
        <v>12049</v>
      </c>
      <c r="E105" s="2" t="s">
        <v>12050</v>
      </c>
      <c r="F105" s="2" t="s">
        <v>12051</v>
      </c>
      <c r="G105" s="2" t="s">
        <v>12052</v>
      </c>
      <c r="H105" s="2" t="s">
        <v>12053</v>
      </c>
      <c r="I105" s="8">
        <v>1</v>
      </c>
      <c r="J105" s="2" t="s">
        <v>12054</v>
      </c>
      <c r="K105" s="2"/>
      <c r="L105" s="2" t="s">
        <v>11434</v>
      </c>
      <c r="M105" s="2" t="s">
        <v>29</v>
      </c>
      <c r="N105" s="2" t="s">
        <v>2548</v>
      </c>
      <c r="O105" s="2"/>
      <c r="P105" s="2"/>
    </row>
    <row r="106" spans="1:16" ht="13.2" customHeight="1" x14ac:dyDescent="0.25">
      <c r="A106" s="8" t="s">
        <v>10625</v>
      </c>
      <c r="B106" s="2" t="s">
        <v>12055</v>
      </c>
      <c r="C106" s="2"/>
      <c r="D106" s="2" t="s">
        <v>11429</v>
      </c>
      <c r="E106" s="2" t="s">
        <v>6887</v>
      </c>
      <c r="F106" s="2" t="s">
        <v>11899</v>
      </c>
      <c r="G106" s="2" t="s">
        <v>12056</v>
      </c>
      <c r="H106" s="2" t="s">
        <v>11816</v>
      </c>
      <c r="I106" s="8">
        <v>1</v>
      </c>
      <c r="J106" s="2" t="s">
        <v>12057</v>
      </c>
      <c r="K106" s="2"/>
      <c r="L106" s="2" t="s">
        <v>11434</v>
      </c>
      <c r="M106" s="2" t="s">
        <v>29</v>
      </c>
      <c r="N106" s="2" t="s">
        <v>7496</v>
      </c>
      <c r="O106" s="2"/>
      <c r="P106" s="2"/>
    </row>
    <row r="107" spans="1:16" ht="13.2" customHeight="1" x14ac:dyDescent="0.25">
      <c r="A107" s="8" t="s">
        <v>10631</v>
      </c>
      <c r="B107" s="2" t="s">
        <v>12058</v>
      </c>
      <c r="C107" s="2"/>
      <c r="D107" s="2" t="s">
        <v>12059</v>
      </c>
      <c r="E107" s="2" t="s">
        <v>12060</v>
      </c>
      <c r="F107" s="2" t="s">
        <v>12061</v>
      </c>
      <c r="G107" s="2" t="s">
        <v>12062</v>
      </c>
      <c r="H107" s="2" t="s">
        <v>12063</v>
      </c>
      <c r="I107" s="8">
        <v>1</v>
      </c>
      <c r="J107" s="2" t="s">
        <v>12064</v>
      </c>
      <c r="K107" s="2"/>
      <c r="L107" s="2" t="s">
        <v>11434</v>
      </c>
      <c r="M107" s="2" t="s">
        <v>29</v>
      </c>
      <c r="N107" s="2" t="s">
        <v>3803</v>
      </c>
      <c r="O107" s="2"/>
      <c r="P107" s="2"/>
    </row>
    <row r="108" spans="1:16" ht="13.2" customHeight="1" x14ac:dyDescent="0.25">
      <c r="A108" s="8" t="s">
        <v>10639</v>
      </c>
      <c r="B108" s="2" t="s">
        <v>12065</v>
      </c>
      <c r="C108" s="2"/>
      <c r="D108" s="2" t="s">
        <v>11801</v>
      </c>
      <c r="E108" s="2" t="s">
        <v>11773</v>
      </c>
      <c r="F108" s="2" t="s">
        <v>11757</v>
      </c>
      <c r="G108" s="2" t="s">
        <v>11805</v>
      </c>
      <c r="H108" s="2" t="s">
        <v>11806</v>
      </c>
      <c r="I108" s="8">
        <v>1</v>
      </c>
      <c r="J108" s="2" t="s">
        <v>12018</v>
      </c>
      <c r="K108" s="2"/>
      <c r="L108" s="2" t="s">
        <v>11434</v>
      </c>
      <c r="M108" s="2" t="s">
        <v>29</v>
      </c>
      <c r="N108" s="2" t="s">
        <v>2655</v>
      </c>
      <c r="O108" s="2"/>
      <c r="P108" s="2"/>
    </row>
    <row r="109" spans="1:16" ht="13.2" customHeight="1" x14ac:dyDescent="0.25">
      <c r="A109" s="8" t="s">
        <v>10642</v>
      </c>
      <c r="B109" s="2" t="s">
        <v>12066</v>
      </c>
      <c r="C109" s="2"/>
      <c r="D109" s="2" t="s">
        <v>11805</v>
      </c>
      <c r="E109" s="2" t="s">
        <v>11806</v>
      </c>
      <c r="F109" s="2" t="s">
        <v>11455</v>
      </c>
      <c r="G109" s="2" t="s">
        <v>11810</v>
      </c>
      <c r="H109" s="2" t="s">
        <v>11811</v>
      </c>
      <c r="I109" s="8">
        <v>1</v>
      </c>
      <c r="J109" s="2" t="s">
        <v>12021</v>
      </c>
      <c r="K109" s="2"/>
      <c r="L109" s="2" t="s">
        <v>11434</v>
      </c>
      <c r="M109" s="2" t="s">
        <v>29</v>
      </c>
      <c r="N109" s="2" t="s">
        <v>3936</v>
      </c>
      <c r="O109" s="2"/>
      <c r="P109" s="2"/>
    </row>
    <row r="110" spans="1:16" ht="13.2" customHeight="1" x14ac:dyDescent="0.25">
      <c r="A110" s="8" t="s">
        <v>10645</v>
      </c>
      <c r="B110" s="2" t="s">
        <v>12067</v>
      </c>
      <c r="C110" s="2"/>
      <c r="D110" s="2" t="s">
        <v>11810</v>
      </c>
      <c r="E110" s="2" t="s">
        <v>11811</v>
      </c>
      <c r="F110" s="2" t="s">
        <v>11812</v>
      </c>
      <c r="G110" s="2" t="s">
        <v>11816</v>
      </c>
      <c r="H110" s="2" t="s">
        <v>11800</v>
      </c>
      <c r="I110" s="8">
        <v>4</v>
      </c>
      <c r="J110" s="2" t="s">
        <v>12068</v>
      </c>
      <c r="K110" s="2"/>
      <c r="L110" s="2" t="s">
        <v>11434</v>
      </c>
      <c r="M110" s="2" t="s">
        <v>29</v>
      </c>
      <c r="N110" s="2" t="s">
        <v>1669</v>
      </c>
      <c r="O110" s="2"/>
      <c r="P110" s="2"/>
    </row>
    <row r="111" spans="1:16" ht="13.2" customHeight="1" x14ac:dyDescent="0.25">
      <c r="A111" s="8" t="s">
        <v>10648</v>
      </c>
      <c r="B111" s="2" t="s">
        <v>12007</v>
      </c>
      <c r="C111" s="2"/>
      <c r="D111" s="2" t="s">
        <v>12009</v>
      </c>
      <c r="E111" s="2" t="s">
        <v>12069</v>
      </c>
      <c r="F111" s="2" t="s">
        <v>11801</v>
      </c>
      <c r="G111" s="2" t="s">
        <v>11773</v>
      </c>
      <c r="H111" s="2" t="s">
        <v>12070</v>
      </c>
      <c r="I111" s="8">
        <v>1</v>
      </c>
      <c r="J111" s="2" t="s">
        <v>12071</v>
      </c>
      <c r="K111" s="2"/>
      <c r="L111" s="2" t="s">
        <v>11434</v>
      </c>
      <c r="M111" s="2" t="s">
        <v>29</v>
      </c>
      <c r="N111" s="2" t="s">
        <v>3900</v>
      </c>
      <c r="O111" s="2"/>
      <c r="P111" s="2"/>
    </row>
    <row r="112" spans="1:16" ht="13.2" customHeight="1" x14ac:dyDescent="0.25">
      <c r="A112" s="8" t="s">
        <v>10656</v>
      </c>
      <c r="B112" s="2" t="s">
        <v>12013</v>
      </c>
      <c r="C112" s="2"/>
      <c r="D112" s="2" t="s">
        <v>11773</v>
      </c>
      <c r="E112" s="2" t="s">
        <v>11757</v>
      </c>
      <c r="F112" s="2" t="s">
        <v>12072</v>
      </c>
      <c r="G112" s="2" t="s">
        <v>12073</v>
      </c>
      <c r="H112" s="2" t="s">
        <v>11455</v>
      </c>
      <c r="I112" s="8">
        <v>4</v>
      </c>
      <c r="J112" s="2" t="s">
        <v>12074</v>
      </c>
      <c r="K112" s="2"/>
      <c r="L112" s="2" t="s">
        <v>11503</v>
      </c>
      <c r="M112" s="2" t="s">
        <v>29</v>
      </c>
      <c r="N112" s="2" t="s">
        <v>2655</v>
      </c>
      <c r="O112" s="2"/>
      <c r="P112" s="2"/>
    </row>
    <row r="113" spans="1:16" ht="13.2" customHeight="1" x14ac:dyDescent="0.25">
      <c r="A113" s="8" t="s">
        <v>10660</v>
      </c>
      <c r="B113" s="2" t="s">
        <v>12017</v>
      </c>
      <c r="C113" s="2"/>
      <c r="D113" s="2" t="s">
        <v>12075</v>
      </c>
      <c r="E113" s="2" t="s">
        <v>12076</v>
      </c>
      <c r="F113" s="2" t="s">
        <v>12077</v>
      </c>
      <c r="G113" s="2" t="s">
        <v>11811</v>
      </c>
      <c r="H113" s="2" t="s">
        <v>11812</v>
      </c>
      <c r="I113" s="8">
        <v>3</v>
      </c>
      <c r="J113" s="2" t="s">
        <v>12078</v>
      </c>
      <c r="K113" s="2"/>
      <c r="L113" s="2" t="s">
        <v>11434</v>
      </c>
      <c r="M113" s="2" t="s">
        <v>29</v>
      </c>
      <c r="N113" s="2" t="s">
        <v>10589</v>
      </c>
      <c r="O113" s="2"/>
      <c r="P113" s="2"/>
    </row>
    <row r="114" spans="1:16" ht="13.2" customHeight="1" x14ac:dyDescent="0.25">
      <c r="A114" s="8" t="s">
        <v>10669</v>
      </c>
      <c r="B114" s="2" t="s">
        <v>12079</v>
      </c>
      <c r="C114" s="2"/>
      <c r="D114" s="2" t="s">
        <v>11811</v>
      </c>
      <c r="E114" s="2" t="s">
        <v>11812</v>
      </c>
      <c r="F114" s="2" t="s">
        <v>11816</v>
      </c>
      <c r="G114" s="2" t="s">
        <v>11800</v>
      </c>
      <c r="H114" s="2" t="s">
        <v>11801</v>
      </c>
      <c r="I114" s="8">
        <v>1</v>
      </c>
      <c r="J114" s="2" t="s">
        <v>12008</v>
      </c>
      <c r="K114" s="2"/>
      <c r="L114" s="2" t="s">
        <v>11434</v>
      </c>
      <c r="M114" s="2" t="s">
        <v>29</v>
      </c>
      <c r="N114" s="2" t="s">
        <v>4030</v>
      </c>
      <c r="O114" s="2"/>
      <c r="P114" s="2"/>
    </row>
    <row r="115" spans="1:16" ht="13.2" customHeight="1" x14ac:dyDescent="0.25">
      <c r="A115" s="8" t="s">
        <v>10677</v>
      </c>
      <c r="B115" s="2" t="s">
        <v>12080</v>
      </c>
      <c r="C115" s="2"/>
      <c r="D115" s="2" t="s">
        <v>11800</v>
      </c>
      <c r="E115" s="2" t="s">
        <v>11801</v>
      </c>
      <c r="F115" s="2" t="s">
        <v>11773</v>
      </c>
      <c r="G115" s="2" t="s">
        <v>11757</v>
      </c>
      <c r="H115" s="2" t="s">
        <v>11805</v>
      </c>
      <c r="I115" s="8">
        <v>1</v>
      </c>
      <c r="J115" s="2" t="s">
        <v>12081</v>
      </c>
      <c r="K115" s="2"/>
      <c r="L115" s="2" t="s">
        <v>11434</v>
      </c>
      <c r="M115" s="2" t="s">
        <v>29</v>
      </c>
      <c r="N115" s="2" t="s">
        <v>1677</v>
      </c>
      <c r="O115" s="2"/>
      <c r="P115" s="2"/>
    </row>
    <row r="116" spans="1:16" ht="13.2" customHeight="1" x14ac:dyDescent="0.25">
      <c r="A116" s="8" t="s">
        <v>10682</v>
      </c>
      <c r="B116" s="2" t="s">
        <v>12082</v>
      </c>
      <c r="C116" s="2"/>
      <c r="D116" s="2" t="s">
        <v>11757</v>
      </c>
      <c r="E116" s="2" t="s">
        <v>11805</v>
      </c>
      <c r="F116" s="2" t="s">
        <v>11806</v>
      </c>
      <c r="G116" s="2" t="s">
        <v>11455</v>
      </c>
      <c r="H116" s="2" t="s">
        <v>11810</v>
      </c>
      <c r="I116" s="8">
        <v>1</v>
      </c>
      <c r="J116" s="2" t="s">
        <v>12083</v>
      </c>
      <c r="K116" s="2"/>
      <c r="L116" s="2" t="s">
        <v>11434</v>
      </c>
      <c r="M116" s="2" t="s">
        <v>29</v>
      </c>
      <c r="N116" s="2" t="s">
        <v>2693</v>
      </c>
      <c r="O116" s="2"/>
      <c r="P116" s="2"/>
    </row>
    <row r="117" spans="1:16" ht="13.2" customHeight="1" x14ac:dyDescent="0.25">
      <c r="A117" s="8" t="s">
        <v>12084</v>
      </c>
      <c r="B117" s="2" t="s">
        <v>12085</v>
      </c>
      <c r="C117" s="2"/>
      <c r="D117" s="2" t="s">
        <v>11455</v>
      </c>
      <c r="E117" s="2" t="s">
        <v>11810</v>
      </c>
      <c r="F117" s="2" t="s">
        <v>11811</v>
      </c>
      <c r="G117" s="2" t="s">
        <v>11812</v>
      </c>
      <c r="H117" s="2" t="s">
        <v>11816</v>
      </c>
      <c r="I117" s="8">
        <v>1</v>
      </c>
      <c r="J117" s="2" t="s">
        <v>12086</v>
      </c>
      <c r="K117" s="2"/>
      <c r="L117" s="2" t="s">
        <v>11434</v>
      </c>
      <c r="M117" s="2" t="s">
        <v>29</v>
      </c>
      <c r="N117" s="2" t="s">
        <v>3936</v>
      </c>
      <c r="O117" s="2"/>
      <c r="P117" s="2"/>
    </row>
    <row r="118" spans="1:16" ht="13.2" customHeight="1" x14ac:dyDescent="0.25">
      <c r="A118" s="8" t="s">
        <v>12087</v>
      </c>
      <c r="B118" s="2" t="s">
        <v>12088</v>
      </c>
      <c r="C118" s="2"/>
      <c r="D118" s="2" t="s">
        <v>11812</v>
      </c>
      <c r="E118" s="2" t="s">
        <v>11816</v>
      </c>
      <c r="F118" s="2" t="s">
        <v>11800</v>
      </c>
      <c r="G118" s="2" t="s">
        <v>11801</v>
      </c>
      <c r="H118" s="2" t="s">
        <v>11773</v>
      </c>
      <c r="I118" s="8">
        <v>1</v>
      </c>
      <c r="J118" s="2" t="s">
        <v>11975</v>
      </c>
      <c r="K118" s="2"/>
      <c r="L118" s="2" t="s">
        <v>11434</v>
      </c>
      <c r="M118" s="2" t="s">
        <v>29</v>
      </c>
      <c r="N118" s="2" t="s">
        <v>3936</v>
      </c>
      <c r="O118" s="2"/>
      <c r="P118" s="2"/>
    </row>
    <row r="119" spans="1:16" ht="13.2" customHeight="1" x14ac:dyDescent="0.25">
      <c r="A119" s="8" t="s">
        <v>12089</v>
      </c>
      <c r="B119" s="2" t="s">
        <v>12090</v>
      </c>
      <c r="C119" s="2"/>
      <c r="D119" s="2" t="s">
        <v>11801</v>
      </c>
      <c r="E119" s="2" t="s">
        <v>11773</v>
      </c>
      <c r="F119" s="2" t="s">
        <v>11757</v>
      </c>
      <c r="G119" s="2" t="s">
        <v>11805</v>
      </c>
      <c r="H119" s="2" t="s">
        <v>11806</v>
      </c>
      <c r="I119" s="8">
        <v>1</v>
      </c>
      <c r="J119" s="2" t="s">
        <v>12018</v>
      </c>
      <c r="K119" s="2"/>
      <c r="L119" s="2" t="s">
        <v>11434</v>
      </c>
      <c r="M119" s="2" t="s">
        <v>29</v>
      </c>
      <c r="N119" s="2" t="s">
        <v>3900</v>
      </c>
      <c r="O119" s="2"/>
      <c r="P119" s="2"/>
    </row>
    <row r="120" spans="1:16" ht="13.2" customHeight="1" x14ac:dyDescent="0.25">
      <c r="A120" s="8" t="s">
        <v>12091</v>
      </c>
      <c r="B120" s="2" t="s">
        <v>12092</v>
      </c>
      <c r="C120" s="2"/>
      <c r="D120" s="2" t="s">
        <v>11805</v>
      </c>
      <c r="E120" s="2" t="s">
        <v>11806</v>
      </c>
      <c r="F120" s="2" t="s">
        <v>11455</v>
      </c>
      <c r="G120" s="2" t="s">
        <v>11810</v>
      </c>
      <c r="H120" s="2" t="s">
        <v>11811</v>
      </c>
      <c r="I120" s="8">
        <v>1</v>
      </c>
      <c r="J120" s="2" t="s">
        <v>12021</v>
      </c>
      <c r="K120" s="2"/>
      <c r="L120" s="2" t="s">
        <v>11434</v>
      </c>
      <c r="M120" s="2" t="s">
        <v>29</v>
      </c>
      <c r="N120" s="2" t="s">
        <v>2655</v>
      </c>
      <c r="O120" s="2"/>
      <c r="P120" s="2"/>
    </row>
    <row r="121" spans="1:16" ht="13.2" customHeight="1" x14ac:dyDescent="0.25">
      <c r="A121" s="8" t="s">
        <v>12093</v>
      </c>
      <c r="B121" s="2" t="s">
        <v>12094</v>
      </c>
      <c r="C121" s="2"/>
      <c r="D121" s="2" t="s">
        <v>11810</v>
      </c>
      <c r="E121" s="2" t="s">
        <v>11811</v>
      </c>
      <c r="F121" s="2" t="s">
        <v>11812</v>
      </c>
      <c r="G121" s="2" t="s">
        <v>11816</v>
      </c>
      <c r="H121" s="2" t="s">
        <v>11800</v>
      </c>
      <c r="I121" s="8">
        <v>1</v>
      </c>
      <c r="J121" s="2" t="s">
        <v>12095</v>
      </c>
      <c r="K121" s="2"/>
      <c r="L121" s="2" t="s">
        <v>11434</v>
      </c>
      <c r="M121" s="2" t="s">
        <v>29</v>
      </c>
      <c r="N121" s="2" t="s">
        <v>3887</v>
      </c>
      <c r="O121" s="2"/>
      <c r="P121" s="2"/>
    </row>
    <row r="122" spans="1:16" ht="13.2" customHeight="1" x14ac:dyDescent="0.25">
      <c r="A122" s="8" t="s">
        <v>12096</v>
      </c>
      <c r="B122" s="2" t="s">
        <v>12097</v>
      </c>
      <c r="C122" s="2"/>
      <c r="D122" s="2" t="s">
        <v>11816</v>
      </c>
      <c r="E122" s="2" t="s">
        <v>11800</v>
      </c>
      <c r="F122" s="2" t="s">
        <v>11801</v>
      </c>
      <c r="G122" s="2" t="s">
        <v>11773</v>
      </c>
      <c r="H122" s="2" t="s">
        <v>11757</v>
      </c>
      <c r="I122" s="8">
        <v>1</v>
      </c>
      <c r="J122" s="2" t="s">
        <v>12098</v>
      </c>
      <c r="K122" s="2"/>
      <c r="L122" s="2" t="s">
        <v>11434</v>
      </c>
      <c r="M122" s="2" t="s">
        <v>29</v>
      </c>
      <c r="N122" s="2" t="s">
        <v>1669</v>
      </c>
      <c r="O122" s="2"/>
      <c r="P122" s="2"/>
    </row>
    <row r="123" spans="1:16" ht="13.2" customHeight="1" x14ac:dyDescent="0.25">
      <c r="A123" s="8" t="s">
        <v>12099</v>
      </c>
      <c r="B123" s="2" t="s">
        <v>12100</v>
      </c>
      <c r="C123" s="2"/>
      <c r="D123" s="2" t="s">
        <v>11773</v>
      </c>
      <c r="E123" s="2" t="s">
        <v>11757</v>
      </c>
      <c r="F123" s="2" t="s">
        <v>11805</v>
      </c>
      <c r="G123" s="2" t="s">
        <v>11806</v>
      </c>
      <c r="H123" s="2" t="s">
        <v>11455</v>
      </c>
      <c r="I123" s="8">
        <v>1</v>
      </c>
      <c r="J123" s="2" t="s">
        <v>12101</v>
      </c>
      <c r="K123" s="2"/>
      <c r="L123" s="2" t="s">
        <v>11434</v>
      </c>
      <c r="M123" s="2" t="s">
        <v>29</v>
      </c>
      <c r="N123" s="2" t="s">
        <v>1669</v>
      </c>
      <c r="O123" s="2"/>
      <c r="P123" s="2"/>
    </row>
    <row r="124" spans="1:16" ht="13.2" customHeight="1" x14ac:dyDescent="0.25">
      <c r="A124" s="8" t="s">
        <v>12102</v>
      </c>
      <c r="B124" s="2" t="s">
        <v>12103</v>
      </c>
      <c r="C124" s="2"/>
      <c r="D124" s="2" t="s">
        <v>11806</v>
      </c>
      <c r="E124" s="2" t="s">
        <v>11455</v>
      </c>
      <c r="F124" s="2" t="s">
        <v>11810</v>
      </c>
      <c r="G124" s="2" t="s">
        <v>11811</v>
      </c>
      <c r="H124" s="2" t="s">
        <v>11812</v>
      </c>
      <c r="I124" s="8">
        <v>1</v>
      </c>
      <c r="J124" s="2" t="s">
        <v>11947</v>
      </c>
      <c r="K124" s="2"/>
      <c r="L124" s="2" t="s">
        <v>11434</v>
      </c>
      <c r="M124" s="2" t="s">
        <v>29</v>
      </c>
      <c r="N124" s="2" t="s">
        <v>2681</v>
      </c>
      <c r="O124" s="2"/>
      <c r="P124" s="2"/>
    </row>
    <row r="125" spans="1:16" ht="13.2" customHeight="1" x14ac:dyDescent="0.25">
      <c r="A125" s="8" t="s">
        <v>12104</v>
      </c>
      <c r="B125" s="2" t="s">
        <v>12105</v>
      </c>
      <c r="C125" s="2"/>
      <c r="D125" s="2" t="s">
        <v>11811</v>
      </c>
      <c r="E125" s="2" t="s">
        <v>11812</v>
      </c>
      <c r="F125" s="2" t="s">
        <v>11816</v>
      </c>
      <c r="G125" s="2" t="s">
        <v>11800</v>
      </c>
      <c r="H125" s="2" t="s">
        <v>11801</v>
      </c>
      <c r="I125" s="8">
        <v>1</v>
      </c>
      <c r="J125" s="2" t="s">
        <v>12008</v>
      </c>
      <c r="K125" s="2"/>
      <c r="L125" s="2" t="s">
        <v>11434</v>
      </c>
      <c r="M125" s="2" t="s">
        <v>29</v>
      </c>
      <c r="N125" s="2" t="s">
        <v>12106</v>
      </c>
      <c r="O125" s="2"/>
      <c r="P125" s="2"/>
    </row>
    <row r="126" spans="1:16" ht="13.2" customHeight="1" x14ac:dyDescent="0.25">
      <c r="A126" s="8" t="s">
        <v>12107</v>
      </c>
      <c r="B126" s="2" t="s">
        <v>12108</v>
      </c>
      <c r="C126" s="2"/>
      <c r="D126" s="2" t="s">
        <v>11800</v>
      </c>
      <c r="E126" s="2" t="s">
        <v>11801</v>
      </c>
      <c r="F126" s="2" t="s">
        <v>11773</v>
      </c>
      <c r="G126" s="2" t="s">
        <v>11757</v>
      </c>
      <c r="H126" s="2" t="s">
        <v>11805</v>
      </c>
      <c r="I126" s="8">
        <v>1</v>
      </c>
      <c r="J126" s="2" t="s">
        <v>12010</v>
      </c>
      <c r="K126" s="2"/>
      <c r="L126" s="2" t="s">
        <v>11434</v>
      </c>
      <c r="M126" s="2" t="s">
        <v>29</v>
      </c>
      <c r="N126" s="2" t="s">
        <v>2655</v>
      </c>
      <c r="O126" s="2"/>
      <c r="P126" s="2"/>
    </row>
    <row r="127" spans="1:16" ht="13.2" customHeight="1" x14ac:dyDescent="0.25">
      <c r="A127" s="8" t="s">
        <v>12109</v>
      </c>
      <c r="B127" s="2" t="s">
        <v>12110</v>
      </c>
      <c r="C127" s="2"/>
      <c r="D127" s="2" t="s">
        <v>11757</v>
      </c>
      <c r="E127" s="2" t="s">
        <v>11805</v>
      </c>
      <c r="F127" s="2" t="s">
        <v>11806</v>
      </c>
      <c r="G127" s="2" t="s">
        <v>11455</v>
      </c>
      <c r="H127" s="2" t="s">
        <v>11810</v>
      </c>
      <c r="I127" s="8">
        <v>1</v>
      </c>
      <c r="J127" s="2" t="s">
        <v>12012</v>
      </c>
      <c r="K127" s="2"/>
      <c r="L127" s="2" t="s">
        <v>11434</v>
      </c>
      <c r="M127" s="2" t="s">
        <v>29</v>
      </c>
      <c r="N127" s="2" t="s">
        <v>3887</v>
      </c>
      <c r="O127" s="2"/>
      <c r="P127" s="2"/>
    </row>
    <row r="128" spans="1:16" ht="13.2" customHeight="1" x14ac:dyDescent="0.25">
      <c r="A128" s="8" t="s">
        <v>12111</v>
      </c>
      <c r="B128" s="2" t="s">
        <v>12112</v>
      </c>
      <c r="C128" s="2"/>
      <c r="D128" s="2" t="s">
        <v>11455</v>
      </c>
      <c r="E128" s="2" t="s">
        <v>11810</v>
      </c>
      <c r="F128" s="2" t="s">
        <v>11811</v>
      </c>
      <c r="G128" s="2" t="s">
        <v>11812</v>
      </c>
      <c r="H128" s="2" t="s">
        <v>11816</v>
      </c>
      <c r="I128" s="8">
        <v>1</v>
      </c>
      <c r="J128" s="2" t="s">
        <v>12086</v>
      </c>
      <c r="K128" s="2"/>
      <c r="L128" s="2" t="s">
        <v>11434</v>
      </c>
      <c r="M128" s="2" t="s">
        <v>29</v>
      </c>
      <c r="N128" s="2" t="s">
        <v>4033</v>
      </c>
      <c r="O128" s="2"/>
      <c r="P128" s="2"/>
    </row>
    <row r="129" spans="1:16" ht="13.2" customHeight="1" x14ac:dyDescent="0.25">
      <c r="A129" s="8" t="s">
        <v>12113</v>
      </c>
      <c r="B129" s="2" t="s">
        <v>12114</v>
      </c>
      <c r="C129" s="2"/>
      <c r="D129" s="2" t="s">
        <v>11812</v>
      </c>
      <c r="E129" s="2" t="s">
        <v>11816</v>
      </c>
      <c r="F129" s="2" t="s">
        <v>11800</v>
      </c>
      <c r="G129" s="2" t="s">
        <v>11801</v>
      </c>
      <c r="H129" s="2" t="s">
        <v>11773</v>
      </c>
      <c r="I129" s="8">
        <v>1</v>
      </c>
      <c r="J129" s="2" t="s">
        <v>12016</v>
      </c>
      <c r="K129" s="2"/>
      <c r="L129" s="2" t="s">
        <v>11503</v>
      </c>
      <c r="M129" s="2" t="s">
        <v>29</v>
      </c>
      <c r="N129" s="2" t="s">
        <v>2655</v>
      </c>
      <c r="O129" s="2"/>
      <c r="P129" s="2"/>
    </row>
    <row r="130" spans="1:16" ht="13.2" customHeight="1" x14ac:dyDescent="0.25">
      <c r="A130" s="8" t="s">
        <v>12115</v>
      </c>
      <c r="B130" s="2" t="s">
        <v>12116</v>
      </c>
      <c r="C130" s="2"/>
      <c r="D130" s="2" t="s">
        <v>11801</v>
      </c>
      <c r="E130" s="2" t="s">
        <v>11773</v>
      </c>
      <c r="F130" s="2" t="s">
        <v>11757</v>
      </c>
      <c r="G130" s="2" t="s">
        <v>11805</v>
      </c>
      <c r="H130" s="2" t="s">
        <v>11806</v>
      </c>
      <c r="I130" s="8">
        <v>1</v>
      </c>
      <c r="J130" s="2" t="s">
        <v>12018</v>
      </c>
      <c r="K130" s="2"/>
      <c r="L130" s="2" t="s">
        <v>11434</v>
      </c>
      <c r="M130" s="2" t="s">
        <v>29</v>
      </c>
      <c r="N130" s="2" t="s">
        <v>10630</v>
      </c>
      <c r="O130" s="2"/>
      <c r="P130" s="2"/>
    </row>
    <row r="131" spans="1:16" ht="13.2" customHeight="1" x14ac:dyDescent="0.25">
      <c r="A131" s="8" t="s">
        <v>12117</v>
      </c>
      <c r="B131" s="2" t="s">
        <v>12118</v>
      </c>
      <c r="C131" s="2"/>
      <c r="D131" s="2" t="s">
        <v>11805</v>
      </c>
      <c r="E131" s="2" t="s">
        <v>11806</v>
      </c>
      <c r="F131" s="2" t="s">
        <v>11455</v>
      </c>
      <c r="G131" s="2" t="s">
        <v>11810</v>
      </c>
      <c r="H131" s="2" t="s">
        <v>11811</v>
      </c>
      <c r="I131" s="8">
        <v>1</v>
      </c>
      <c r="J131" s="2" t="s">
        <v>12021</v>
      </c>
      <c r="K131" s="2"/>
      <c r="L131" s="2" t="s">
        <v>11434</v>
      </c>
      <c r="M131" s="2" t="s">
        <v>29</v>
      </c>
      <c r="N131" s="2" t="s">
        <v>3936</v>
      </c>
      <c r="O131" s="2"/>
      <c r="P131" s="2"/>
    </row>
    <row r="132" spans="1:16" ht="13.2" customHeight="1" x14ac:dyDescent="0.25">
      <c r="A132" s="8" t="s">
        <v>12119</v>
      </c>
      <c r="B132" s="2" t="s">
        <v>12120</v>
      </c>
      <c r="C132" s="2"/>
      <c r="D132" s="2" t="s">
        <v>11810</v>
      </c>
      <c r="E132" s="2" t="s">
        <v>11811</v>
      </c>
      <c r="F132" s="2" t="s">
        <v>11812</v>
      </c>
      <c r="G132" s="2" t="s">
        <v>11816</v>
      </c>
      <c r="H132" s="2" t="s">
        <v>11800</v>
      </c>
      <c r="I132" s="8">
        <v>1</v>
      </c>
      <c r="J132" s="2" t="s">
        <v>12095</v>
      </c>
      <c r="K132" s="2"/>
      <c r="L132" s="2" t="s">
        <v>11434</v>
      </c>
      <c r="M132" s="2" t="s">
        <v>29</v>
      </c>
      <c r="N132" s="2" t="s">
        <v>3900</v>
      </c>
      <c r="O132" s="2"/>
      <c r="P132" s="2"/>
    </row>
    <row r="133" spans="1:16" ht="13.2" customHeight="1" x14ac:dyDescent="0.25">
      <c r="A133" s="8" t="s">
        <v>12121</v>
      </c>
      <c r="B133" s="2" t="s">
        <v>12122</v>
      </c>
      <c r="C133" s="2"/>
      <c r="D133" s="2" t="s">
        <v>11816</v>
      </c>
      <c r="E133" s="2" t="s">
        <v>11800</v>
      </c>
      <c r="F133" s="2" t="s">
        <v>11801</v>
      </c>
      <c r="G133" s="2" t="s">
        <v>11773</v>
      </c>
      <c r="H133" s="2" t="s">
        <v>11757</v>
      </c>
      <c r="I133" s="8">
        <v>1</v>
      </c>
      <c r="J133" s="2" t="s">
        <v>12098</v>
      </c>
      <c r="K133" s="2"/>
      <c r="L133" s="2" t="s">
        <v>11434</v>
      </c>
      <c r="M133" s="2" t="s">
        <v>29</v>
      </c>
      <c r="N133" s="2" t="s">
        <v>2655</v>
      </c>
      <c r="O133" s="2"/>
      <c r="P133" s="2"/>
    </row>
    <row r="134" spans="1:16" ht="13.2" customHeight="1" x14ac:dyDescent="0.25">
      <c r="A134" s="8" t="s">
        <v>12123</v>
      </c>
      <c r="B134" s="2" t="s">
        <v>12124</v>
      </c>
      <c r="C134" s="2"/>
      <c r="D134" s="2" t="s">
        <v>11773</v>
      </c>
      <c r="E134" s="2" t="s">
        <v>11757</v>
      </c>
      <c r="F134" s="2" t="s">
        <v>11805</v>
      </c>
      <c r="G134" s="2" t="s">
        <v>11806</v>
      </c>
      <c r="H134" s="2" t="s">
        <v>11455</v>
      </c>
      <c r="I134" s="8">
        <v>1</v>
      </c>
      <c r="J134" s="2" t="s">
        <v>12101</v>
      </c>
      <c r="K134" s="2"/>
      <c r="L134" s="2" t="s">
        <v>11434</v>
      </c>
      <c r="M134" s="2" t="s">
        <v>29</v>
      </c>
      <c r="N134" s="2" t="s">
        <v>1669</v>
      </c>
      <c r="O134" s="2"/>
      <c r="P134" s="2"/>
    </row>
    <row r="135" spans="1:16" ht="13.2" customHeight="1" x14ac:dyDescent="0.25">
      <c r="A135" s="8" t="s">
        <v>12125</v>
      </c>
      <c r="B135" s="2" t="s">
        <v>12126</v>
      </c>
      <c r="C135" s="2"/>
      <c r="D135" s="2" t="s">
        <v>11806</v>
      </c>
      <c r="E135" s="2" t="s">
        <v>11455</v>
      </c>
      <c r="F135" s="2" t="s">
        <v>11810</v>
      </c>
      <c r="G135" s="2" t="s">
        <v>11811</v>
      </c>
      <c r="H135" s="2" t="s">
        <v>11812</v>
      </c>
      <c r="I135" s="8">
        <v>1</v>
      </c>
      <c r="J135" s="2" t="s">
        <v>11947</v>
      </c>
      <c r="K135" s="2"/>
      <c r="L135" s="2" t="s">
        <v>11434</v>
      </c>
      <c r="M135" s="2" t="s">
        <v>29</v>
      </c>
      <c r="N135" s="2" t="s">
        <v>12127</v>
      </c>
      <c r="O135" s="2"/>
      <c r="P135" s="2"/>
    </row>
    <row r="136" spans="1:16" ht="13.2" customHeight="1" x14ac:dyDescent="0.25">
      <c r="A136" s="8" t="s">
        <v>12128</v>
      </c>
      <c r="B136" s="2" t="s">
        <v>12129</v>
      </c>
      <c r="C136" s="2"/>
      <c r="D136" s="2" t="s">
        <v>11811</v>
      </c>
      <c r="E136" s="2" t="s">
        <v>11812</v>
      </c>
      <c r="F136" s="2" t="s">
        <v>11816</v>
      </c>
      <c r="G136" s="2" t="s">
        <v>11800</v>
      </c>
      <c r="H136" s="2" t="s">
        <v>11801</v>
      </c>
      <c r="I136" s="8">
        <v>1</v>
      </c>
      <c r="J136" s="2" t="s">
        <v>12130</v>
      </c>
      <c r="K136" s="2"/>
      <c r="L136" s="2" t="s">
        <v>11434</v>
      </c>
      <c r="M136" s="2" t="s">
        <v>29</v>
      </c>
      <c r="N136" s="2" t="s">
        <v>1669</v>
      </c>
      <c r="O136" s="2"/>
      <c r="P136" s="2"/>
    </row>
    <row r="137" spans="1:16" ht="13.2" customHeight="1" x14ac:dyDescent="0.25">
      <c r="A137" s="8" t="s">
        <v>12131</v>
      </c>
      <c r="B137" s="2" t="s">
        <v>12132</v>
      </c>
      <c r="C137" s="2"/>
      <c r="D137" s="2" t="s">
        <v>11800</v>
      </c>
      <c r="E137" s="2" t="s">
        <v>11801</v>
      </c>
      <c r="F137" s="2" t="s">
        <v>11773</v>
      </c>
      <c r="G137" s="2" t="s">
        <v>11757</v>
      </c>
      <c r="H137" s="2" t="s">
        <v>11805</v>
      </c>
      <c r="I137" s="8">
        <v>2</v>
      </c>
      <c r="J137" s="2" t="s">
        <v>12133</v>
      </c>
      <c r="K137" s="2"/>
      <c r="L137" s="2" t="s">
        <v>11434</v>
      </c>
      <c r="M137" s="2" t="s">
        <v>29</v>
      </c>
      <c r="N137" s="2" t="s">
        <v>1669</v>
      </c>
      <c r="O137" s="2"/>
      <c r="P137" s="2"/>
    </row>
    <row r="138" spans="1:16" ht="13.2" customHeight="1" x14ac:dyDescent="0.25">
      <c r="A138" s="8" t="s">
        <v>12134</v>
      </c>
      <c r="B138" s="2" t="s">
        <v>12135</v>
      </c>
      <c r="C138" s="2"/>
      <c r="D138" s="2" t="s">
        <v>11757</v>
      </c>
      <c r="E138" s="2" t="s">
        <v>11805</v>
      </c>
      <c r="F138" s="2" t="s">
        <v>11806</v>
      </c>
      <c r="G138" s="2" t="s">
        <v>11455</v>
      </c>
      <c r="H138" s="2" t="s">
        <v>11810</v>
      </c>
      <c r="I138" s="8">
        <v>1</v>
      </c>
      <c r="J138" s="2" t="s">
        <v>12012</v>
      </c>
      <c r="K138" s="2"/>
      <c r="L138" s="2" t="s">
        <v>11434</v>
      </c>
      <c r="M138" s="2" t="s">
        <v>29</v>
      </c>
      <c r="N138" s="2" t="s">
        <v>2655</v>
      </c>
      <c r="O138" s="2"/>
      <c r="P138" s="2"/>
    </row>
    <row r="139" spans="1:16" ht="13.2" customHeight="1" x14ac:dyDescent="0.25">
      <c r="A139" s="8" t="s">
        <v>12136</v>
      </c>
      <c r="B139" s="2" t="s">
        <v>12137</v>
      </c>
      <c r="C139" s="2"/>
      <c r="D139" s="2" t="s">
        <v>11455</v>
      </c>
      <c r="E139" s="2" t="s">
        <v>11810</v>
      </c>
      <c r="F139" s="2" t="s">
        <v>11811</v>
      </c>
      <c r="G139" s="2" t="s">
        <v>11812</v>
      </c>
      <c r="H139" s="2" t="s">
        <v>11816</v>
      </c>
      <c r="I139" s="8">
        <v>1</v>
      </c>
      <c r="J139" s="2" t="s">
        <v>12086</v>
      </c>
      <c r="K139" s="2"/>
      <c r="L139" s="2" t="s">
        <v>11434</v>
      </c>
      <c r="M139" s="2" t="s">
        <v>29</v>
      </c>
      <c r="N139" s="2" t="s">
        <v>3900</v>
      </c>
      <c r="O139" s="2"/>
      <c r="P139" s="2"/>
    </row>
    <row r="140" spans="1:16" ht="13.2" customHeight="1" x14ac:dyDescent="0.25">
      <c r="A140" s="8" t="s">
        <v>12138</v>
      </c>
      <c r="B140" s="2" t="s">
        <v>12139</v>
      </c>
      <c r="C140" s="2"/>
      <c r="D140" s="2" t="s">
        <v>11812</v>
      </c>
      <c r="E140" s="2" t="s">
        <v>11816</v>
      </c>
      <c r="F140" s="2" t="s">
        <v>11800</v>
      </c>
      <c r="G140" s="2" t="s">
        <v>11801</v>
      </c>
      <c r="H140" s="2" t="s">
        <v>11773</v>
      </c>
      <c r="I140" s="8">
        <v>1</v>
      </c>
      <c r="J140" s="2" t="s">
        <v>11975</v>
      </c>
      <c r="K140" s="2"/>
      <c r="L140" s="2" t="s">
        <v>11434</v>
      </c>
      <c r="M140" s="2" t="s">
        <v>29</v>
      </c>
      <c r="N140" s="2" t="s">
        <v>2655</v>
      </c>
      <c r="O140" s="2"/>
      <c r="P140" s="2"/>
    </row>
    <row r="141" spans="1:16" ht="13.2" customHeight="1" x14ac:dyDescent="0.25">
      <c r="A141" s="8" t="s">
        <v>12140</v>
      </c>
      <c r="B141" s="2" t="s">
        <v>12141</v>
      </c>
      <c r="C141" s="2"/>
      <c r="D141" s="2" t="s">
        <v>11801</v>
      </c>
      <c r="E141" s="2" t="s">
        <v>11773</v>
      </c>
      <c r="F141" s="2" t="s">
        <v>11757</v>
      </c>
      <c r="G141" s="2" t="s">
        <v>11805</v>
      </c>
      <c r="H141" s="2" t="s">
        <v>11806</v>
      </c>
      <c r="I141" s="8">
        <v>1</v>
      </c>
      <c r="J141" s="2" t="s">
        <v>12018</v>
      </c>
      <c r="K141" s="2"/>
      <c r="L141" s="2" t="s">
        <v>11434</v>
      </c>
      <c r="M141" s="2" t="s">
        <v>29</v>
      </c>
      <c r="N141" s="2" t="s">
        <v>3887</v>
      </c>
      <c r="O141" s="2"/>
      <c r="P141" s="2"/>
    </row>
    <row r="142" spans="1:16" ht="13.2" customHeight="1" x14ac:dyDescent="0.25">
      <c r="A142" s="8" t="s">
        <v>12142</v>
      </c>
      <c r="B142" s="2" t="s">
        <v>12143</v>
      </c>
      <c r="C142" s="2"/>
      <c r="D142" s="2" t="s">
        <v>11805</v>
      </c>
      <c r="E142" s="2" t="s">
        <v>11806</v>
      </c>
      <c r="F142" s="2" t="s">
        <v>11455</v>
      </c>
      <c r="G142" s="2" t="s">
        <v>11810</v>
      </c>
      <c r="H142" s="2" t="s">
        <v>11811</v>
      </c>
      <c r="I142" s="8">
        <v>1</v>
      </c>
      <c r="J142" s="2" t="s">
        <v>12021</v>
      </c>
      <c r="K142" s="2"/>
      <c r="L142" s="2" t="s">
        <v>11434</v>
      </c>
      <c r="M142" s="2" t="s">
        <v>29</v>
      </c>
      <c r="N142" s="2" t="s">
        <v>12144</v>
      </c>
      <c r="O142" s="2"/>
      <c r="P142" s="2"/>
    </row>
    <row r="143" spans="1:16" ht="13.2" customHeight="1" x14ac:dyDescent="0.25">
      <c r="A143" s="8" t="s">
        <v>12145</v>
      </c>
      <c r="B143" s="2" t="s">
        <v>12146</v>
      </c>
      <c r="C143" s="2"/>
      <c r="D143" s="2" t="s">
        <v>11810</v>
      </c>
      <c r="E143" s="2" t="s">
        <v>11811</v>
      </c>
      <c r="F143" s="2" t="s">
        <v>11812</v>
      </c>
      <c r="G143" s="2" t="s">
        <v>11816</v>
      </c>
      <c r="H143" s="2" t="s">
        <v>11800</v>
      </c>
      <c r="I143" s="8">
        <v>2</v>
      </c>
      <c r="J143" s="2" t="s">
        <v>12147</v>
      </c>
      <c r="K143" s="2"/>
      <c r="L143" s="2" t="s">
        <v>11434</v>
      </c>
      <c r="M143" s="2" t="s">
        <v>29</v>
      </c>
      <c r="N143" s="2" t="s">
        <v>1669</v>
      </c>
      <c r="O143" s="2"/>
      <c r="P143" s="2"/>
    </row>
    <row r="144" spans="1:16" ht="13.2" customHeight="1" x14ac:dyDescent="0.25">
      <c r="A144" s="8" t="s">
        <v>12148</v>
      </c>
      <c r="B144" s="2" t="s">
        <v>12149</v>
      </c>
      <c r="C144" s="2"/>
      <c r="D144" s="2" t="s">
        <v>11816</v>
      </c>
      <c r="E144" s="2" t="s">
        <v>11800</v>
      </c>
      <c r="F144" s="2" t="s">
        <v>11801</v>
      </c>
      <c r="G144" s="2" t="s">
        <v>11773</v>
      </c>
      <c r="H144" s="2" t="s">
        <v>11757</v>
      </c>
      <c r="I144" s="8">
        <v>1</v>
      </c>
      <c r="J144" s="2" t="s">
        <v>12098</v>
      </c>
      <c r="K144" s="2"/>
      <c r="L144" s="2" t="s">
        <v>11434</v>
      </c>
      <c r="M144" s="2" t="s">
        <v>29</v>
      </c>
      <c r="N144" s="2" t="s">
        <v>12150</v>
      </c>
      <c r="O144" s="2"/>
      <c r="P144" s="2"/>
    </row>
    <row r="145" spans="1:16" ht="13.2" customHeight="1" x14ac:dyDescent="0.25">
      <c r="A145" s="8" t="s">
        <v>12151</v>
      </c>
      <c r="B145" s="2" t="s">
        <v>12152</v>
      </c>
      <c r="C145" s="2"/>
      <c r="D145" s="2" t="s">
        <v>11773</v>
      </c>
      <c r="E145" s="2" t="s">
        <v>11757</v>
      </c>
      <c r="F145" s="2" t="s">
        <v>11805</v>
      </c>
      <c r="G145" s="2" t="s">
        <v>11806</v>
      </c>
      <c r="H145" s="2" t="s">
        <v>11455</v>
      </c>
      <c r="I145" s="8">
        <v>1</v>
      </c>
      <c r="J145" s="2" t="s">
        <v>12101</v>
      </c>
      <c r="K145" s="2"/>
      <c r="L145" s="2" t="s">
        <v>11434</v>
      </c>
      <c r="M145" s="2" t="s">
        <v>29</v>
      </c>
      <c r="N145" s="2" t="s">
        <v>3936</v>
      </c>
      <c r="O145" s="2"/>
      <c r="P145" s="2"/>
    </row>
    <row r="146" spans="1:16" ht="13.2" customHeight="1" x14ac:dyDescent="0.25">
      <c r="A146" s="8" t="s">
        <v>12153</v>
      </c>
      <c r="B146" s="2" t="s">
        <v>12154</v>
      </c>
      <c r="C146" s="2"/>
      <c r="D146" s="2" t="s">
        <v>11806</v>
      </c>
      <c r="E146" s="2" t="s">
        <v>11455</v>
      </c>
      <c r="F146" s="2" t="s">
        <v>11810</v>
      </c>
      <c r="G146" s="2" t="s">
        <v>11811</v>
      </c>
      <c r="H146" s="2" t="s">
        <v>11812</v>
      </c>
      <c r="I146" s="8">
        <v>1</v>
      </c>
      <c r="J146" s="2" t="s">
        <v>11947</v>
      </c>
      <c r="K146" s="2"/>
      <c r="L146" s="2" t="s">
        <v>11434</v>
      </c>
      <c r="M146" s="2" t="s">
        <v>29</v>
      </c>
      <c r="N146" s="2" t="s">
        <v>2655</v>
      </c>
      <c r="O146" s="2"/>
      <c r="P146" s="2"/>
    </row>
    <row r="147" spans="1:16" ht="13.2" customHeight="1" x14ac:dyDescent="0.25">
      <c r="A147" s="8" t="s">
        <v>12155</v>
      </c>
      <c r="B147" s="2" t="s">
        <v>12156</v>
      </c>
      <c r="C147" s="2"/>
      <c r="D147" s="2" t="s">
        <v>11811</v>
      </c>
      <c r="E147" s="2" t="s">
        <v>11812</v>
      </c>
      <c r="F147" s="2" t="s">
        <v>11816</v>
      </c>
      <c r="G147" s="2" t="s">
        <v>11800</v>
      </c>
      <c r="H147" s="2" t="s">
        <v>11801</v>
      </c>
      <c r="I147" s="8">
        <v>1</v>
      </c>
      <c r="J147" s="2" t="s">
        <v>12008</v>
      </c>
      <c r="K147" s="2"/>
      <c r="L147" s="2" t="s">
        <v>11434</v>
      </c>
      <c r="M147" s="2" t="s">
        <v>29</v>
      </c>
      <c r="N147" s="2" t="s">
        <v>2655</v>
      </c>
      <c r="O147" s="2"/>
      <c r="P147" s="2"/>
    </row>
    <row r="148" spans="1:16" ht="13.2" customHeight="1" x14ac:dyDescent="0.25">
      <c r="A148" s="8" t="s">
        <v>12157</v>
      </c>
      <c r="B148" s="2" t="s">
        <v>12158</v>
      </c>
      <c r="C148" s="2"/>
      <c r="D148" s="2" t="s">
        <v>11800</v>
      </c>
      <c r="E148" s="2" t="s">
        <v>11801</v>
      </c>
      <c r="F148" s="2" t="s">
        <v>11773</v>
      </c>
      <c r="G148" s="2" t="s">
        <v>11757</v>
      </c>
      <c r="H148" s="2" t="s">
        <v>11805</v>
      </c>
      <c r="I148" s="8">
        <v>1</v>
      </c>
      <c r="J148" s="2" t="s">
        <v>12159</v>
      </c>
      <c r="K148" s="2"/>
      <c r="L148" s="2" t="s">
        <v>11434</v>
      </c>
      <c r="M148" s="2" t="s">
        <v>29</v>
      </c>
      <c r="N148" s="2" t="s">
        <v>3887</v>
      </c>
      <c r="O148" s="2"/>
      <c r="P148" s="2"/>
    </row>
    <row r="149" spans="1:16" ht="13.2" customHeight="1" x14ac:dyDescent="0.25">
      <c r="A149" s="8" t="s">
        <v>12160</v>
      </c>
      <c r="B149" s="2" t="s">
        <v>12161</v>
      </c>
      <c r="C149" s="2"/>
      <c r="D149" s="2" t="s">
        <v>11757</v>
      </c>
      <c r="E149" s="2" t="s">
        <v>11805</v>
      </c>
      <c r="F149" s="2" t="s">
        <v>11806</v>
      </c>
      <c r="G149" s="2" t="s">
        <v>11455</v>
      </c>
      <c r="H149" s="2" t="s">
        <v>11810</v>
      </c>
      <c r="I149" s="8">
        <v>1</v>
      </c>
      <c r="J149" s="2" t="s">
        <v>12012</v>
      </c>
      <c r="K149" s="2"/>
      <c r="L149" s="2" t="s">
        <v>11434</v>
      </c>
      <c r="M149" s="2" t="s">
        <v>29</v>
      </c>
      <c r="N149" s="2" t="s">
        <v>1669</v>
      </c>
      <c r="O149" s="2"/>
      <c r="P149" s="2"/>
    </row>
    <row r="150" spans="1:16" ht="13.2" customHeight="1" x14ac:dyDescent="0.25">
      <c r="A150" s="8" t="s">
        <v>12162</v>
      </c>
      <c r="B150" s="2" t="s">
        <v>12163</v>
      </c>
      <c r="C150" s="2"/>
      <c r="D150" s="2" t="s">
        <v>11455</v>
      </c>
      <c r="E150" s="2" t="s">
        <v>11810</v>
      </c>
      <c r="F150" s="2" t="s">
        <v>11811</v>
      </c>
      <c r="G150" s="2" t="s">
        <v>11812</v>
      </c>
      <c r="H150" s="2" t="s">
        <v>11816</v>
      </c>
      <c r="I150" s="8">
        <v>4</v>
      </c>
      <c r="J150" s="2" t="s">
        <v>12164</v>
      </c>
      <c r="K150" s="2"/>
      <c r="L150" s="2" t="s">
        <v>11434</v>
      </c>
      <c r="M150" s="2" t="s">
        <v>29</v>
      </c>
      <c r="N150" s="2" t="s">
        <v>1669</v>
      </c>
      <c r="O150" s="2"/>
      <c r="P150" s="2"/>
    </row>
    <row r="151" spans="1:16" ht="13.2" customHeight="1" x14ac:dyDescent="0.25">
      <c r="A151" s="8" t="s">
        <v>12165</v>
      </c>
      <c r="B151" s="2" t="s">
        <v>12166</v>
      </c>
      <c r="C151" s="2"/>
      <c r="D151" s="2" t="s">
        <v>11812</v>
      </c>
      <c r="E151" s="2" t="s">
        <v>11816</v>
      </c>
      <c r="F151" s="2" t="s">
        <v>11800</v>
      </c>
      <c r="G151" s="2" t="s">
        <v>11801</v>
      </c>
      <c r="H151" s="2" t="s">
        <v>11773</v>
      </c>
      <c r="I151" s="8">
        <v>1</v>
      </c>
      <c r="J151" s="2" t="s">
        <v>11975</v>
      </c>
      <c r="K151" s="2"/>
      <c r="L151" s="2" t="s">
        <v>11434</v>
      </c>
      <c r="M151" s="2" t="s">
        <v>29</v>
      </c>
      <c r="N151" s="2" t="s">
        <v>1669</v>
      </c>
      <c r="O151" s="2"/>
      <c r="P151" s="2"/>
    </row>
    <row r="152" spans="1:16" ht="13.2" customHeight="1" x14ac:dyDescent="0.25">
      <c r="A152" s="8" t="s">
        <v>8864</v>
      </c>
      <c r="B152" s="2" t="s">
        <v>12167</v>
      </c>
      <c r="C152" s="2"/>
      <c r="D152" s="2" t="s">
        <v>11801</v>
      </c>
      <c r="E152" s="2" t="s">
        <v>11773</v>
      </c>
      <c r="F152" s="2" t="s">
        <v>11757</v>
      </c>
      <c r="G152" s="2" t="s">
        <v>11805</v>
      </c>
      <c r="H152" s="2" t="s">
        <v>11806</v>
      </c>
      <c r="I152" s="8">
        <v>1</v>
      </c>
      <c r="J152" s="2" t="s">
        <v>12018</v>
      </c>
      <c r="K152" s="2"/>
      <c r="L152" s="2" t="s">
        <v>11434</v>
      </c>
      <c r="M152" s="2" t="s">
        <v>29</v>
      </c>
      <c r="N152" s="2" t="s">
        <v>4030</v>
      </c>
      <c r="O152" s="2"/>
      <c r="P152" s="2"/>
    </row>
    <row r="153" spans="1:16" ht="13.2" customHeight="1" x14ac:dyDescent="0.25">
      <c r="A153" s="8" t="s">
        <v>12168</v>
      </c>
      <c r="B153" s="2" t="s">
        <v>12169</v>
      </c>
      <c r="C153" s="2"/>
      <c r="D153" s="2" t="s">
        <v>11805</v>
      </c>
      <c r="E153" s="2" t="s">
        <v>11806</v>
      </c>
      <c r="F153" s="2" t="s">
        <v>11455</v>
      </c>
      <c r="G153" s="2" t="s">
        <v>11810</v>
      </c>
      <c r="H153" s="2" t="s">
        <v>11811</v>
      </c>
      <c r="I153" s="8">
        <v>1</v>
      </c>
      <c r="J153" s="2" t="s">
        <v>12170</v>
      </c>
      <c r="K153" s="2"/>
      <c r="L153" s="2" t="s">
        <v>11503</v>
      </c>
      <c r="M153" s="2" t="s">
        <v>29</v>
      </c>
      <c r="N153" s="2" t="s">
        <v>3936</v>
      </c>
      <c r="O153" s="2"/>
      <c r="P153" s="2"/>
    </row>
    <row r="154" spans="1:16" ht="13.2" customHeight="1" x14ac:dyDescent="0.25">
      <c r="A154" s="8" t="s">
        <v>12171</v>
      </c>
      <c r="B154" s="2" t="s">
        <v>12172</v>
      </c>
      <c r="C154" s="2"/>
      <c r="D154" s="2" t="s">
        <v>11810</v>
      </c>
      <c r="E154" s="2" t="s">
        <v>11811</v>
      </c>
      <c r="F154" s="2" t="s">
        <v>11812</v>
      </c>
      <c r="G154" s="2" t="s">
        <v>11816</v>
      </c>
      <c r="H154" s="2" t="s">
        <v>11800</v>
      </c>
      <c r="I154" s="8">
        <v>1</v>
      </c>
      <c r="J154" s="2" t="s">
        <v>12095</v>
      </c>
      <c r="K154" s="2"/>
      <c r="L154" s="2" t="s">
        <v>11434</v>
      </c>
      <c r="M154" s="2" t="s">
        <v>29</v>
      </c>
      <c r="N154" s="2" t="s">
        <v>3900</v>
      </c>
      <c r="O154" s="2"/>
      <c r="P154" s="2"/>
    </row>
    <row r="155" spans="1:16" ht="13.2" customHeight="1" x14ac:dyDescent="0.25">
      <c r="A155" s="8" t="s">
        <v>12173</v>
      </c>
      <c r="B155" s="2" t="s">
        <v>12174</v>
      </c>
      <c r="C155" s="2"/>
      <c r="D155" s="2" t="s">
        <v>11816</v>
      </c>
      <c r="E155" s="2" t="s">
        <v>11800</v>
      </c>
      <c r="F155" s="2" t="s">
        <v>11801</v>
      </c>
      <c r="G155" s="2" t="s">
        <v>11773</v>
      </c>
      <c r="H155" s="2" t="s">
        <v>11757</v>
      </c>
      <c r="I155" s="8">
        <v>1</v>
      </c>
      <c r="J155" s="2" t="s">
        <v>12175</v>
      </c>
      <c r="K155" s="2"/>
      <c r="L155" s="2" t="s">
        <v>11434</v>
      </c>
      <c r="M155" s="2" t="s">
        <v>29</v>
      </c>
      <c r="N155" s="2" t="s">
        <v>7564</v>
      </c>
      <c r="O155" s="2"/>
      <c r="P155" s="2"/>
    </row>
    <row r="156" spans="1:16" ht="13.2" customHeight="1" x14ac:dyDescent="0.25">
      <c r="A156" s="8" t="s">
        <v>12176</v>
      </c>
      <c r="B156" s="2" t="s">
        <v>12177</v>
      </c>
      <c r="C156" s="2"/>
      <c r="D156" s="2" t="s">
        <v>11773</v>
      </c>
      <c r="E156" s="2" t="s">
        <v>11757</v>
      </c>
      <c r="F156" s="2" t="s">
        <v>11805</v>
      </c>
      <c r="G156" s="2" t="s">
        <v>11806</v>
      </c>
      <c r="H156" s="2" t="s">
        <v>11455</v>
      </c>
      <c r="I156" s="8">
        <v>1</v>
      </c>
      <c r="J156" s="2" t="s">
        <v>12101</v>
      </c>
      <c r="K156" s="2"/>
      <c r="L156" s="2" t="s">
        <v>11434</v>
      </c>
      <c r="M156" s="2" t="s">
        <v>29</v>
      </c>
      <c r="N156" s="2" t="s">
        <v>10589</v>
      </c>
      <c r="O156" s="2"/>
      <c r="P156" s="2"/>
    </row>
    <row r="157" spans="1:16" ht="13.2" customHeight="1" x14ac:dyDescent="0.25">
      <c r="A157" s="8" t="s">
        <v>12178</v>
      </c>
      <c r="B157" s="2" t="s">
        <v>12179</v>
      </c>
      <c r="C157" s="2"/>
      <c r="D157" s="2" t="s">
        <v>11806</v>
      </c>
      <c r="E157" s="2" t="s">
        <v>11455</v>
      </c>
      <c r="F157" s="2" t="s">
        <v>11810</v>
      </c>
      <c r="G157" s="2" t="s">
        <v>11811</v>
      </c>
      <c r="H157" s="2" t="s">
        <v>11812</v>
      </c>
      <c r="I157" s="8">
        <v>1</v>
      </c>
      <c r="J157" s="2" t="s">
        <v>12180</v>
      </c>
      <c r="K157" s="2"/>
      <c r="L157" s="2" t="s">
        <v>11503</v>
      </c>
      <c r="M157" s="2" t="s">
        <v>29</v>
      </c>
      <c r="N157" s="2" t="s">
        <v>2655</v>
      </c>
      <c r="O157" s="2"/>
      <c r="P157" s="2"/>
    </row>
    <row r="158" spans="1:16" ht="13.2" customHeight="1" x14ac:dyDescent="0.25">
      <c r="A158" s="8" t="s">
        <v>12181</v>
      </c>
      <c r="B158" s="2" t="s">
        <v>12182</v>
      </c>
      <c r="C158" s="2"/>
      <c r="D158" s="2" t="s">
        <v>6890</v>
      </c>
      <c r="E158" s="2" t="s">
        <v>11894</v>
      </c>
      <c r="F158" s="2" t="s">
        <v>11668</v>
      </c>
      <c r="G158" s="2" t="s">
        <v>11895</v>
      </c>
      <c r="H158" s="2" t="s">
        <v>6887</v>
      </c>
      <c r="I158" s="8">
        <v>1</v>
      </c>
      <c r="J158" s="2" t="s">
        <v>11896</v>
      </c>
      <c r="K158" s="2"/>
      <c r="L158" s="2" t="s">
        <v>11503</v>
      </c>
      <c r="M158" s="2" t="s">
        <v>29</v>
      </c>
      <c r="N158" s="2" t="s">
        <v>3999</v>
      </c>
      <c r="O158" s="2"/>
      <c r="P158" s="2"/>
    </row>
    <row r="159" spans="1:16" ht="13.2" customHeight="1" x14ac:dyDescent="0.25">
      <c r="A159" s="8" t="s">
        <v>12183</v>
      </c>
      <c r="B159" s="2" t="s">
        <v>12184</v>
      </c>
      <c r="C159" s="2"/>
      <c r="D159" s="2" t="s">
        <v>6887</v>
      </c>
      <c r="E159" s="2" t="s">
        <v>11429</v>
      </c>
      <c r="F159" s="2" t="s">
        <v>11898</v>
      </c>
      <c r="G159" s="2" t="s">
        <v>11899</v>
      </c>
      <c r="H159" s="2" t="s">
        <v>12185</v>
      </c>
      <c r="I159" s="8">
        <v>5</v>
      </c>
      <c r="J159" s="2" t="s">
        <v>12186</v>
      </c>
      <c r="K159" s="2"/>
      <c r="L159" s="2" t="s">
        <v>11434</v>
      </c>
      <c r="M159" s="2" t="s">
        <v>29</v>
      </c>
      <c r="N159" s="2" t="s">
        <v>6982</v>
      </c>
      <c r="O159" s="2"/>
      <c r="P159" s="2"/>
    </row>
    <row r="160" spans="1:16" ht="13.2" customHeight="1" x14ac:dyDescent="0.25">
      <c r="A160" s="8" t="s">
        <v>12187</v>
      </c>
      <c r="B160" s="2" t="s">
        <v>12188</v>
      </c>
      <c r="C160" s="2"/>
      <c r="D160" s="2" t="s">
        <v>11757</v>
      </c>
      <c r="E160" s="2" t="s">
        <v>11805</v>
      </c>
      <c r="F160" s="2" t="s">
        <v>11806</v>
      </c>
      <c r="G160" s="2" t="s">
        <v>11455</v>
      </c>
      <c r="H160" s="2" t="s">
        <v>11810</v>
      </c>
      <c r="I160" s="8">
        <v>3</v>
      </c>
      <c r="J160" s="2" t="s">
        <v>12189</v>
      </c>
      <c r="K160" s="2"/>
      <c r="L160" s="2" t="s">
        <v>11503</v>
      </c>
      <c r="M160" s="2" t="s">
        <v>29</v>
      </c>
      <c r="N160" s="2" t="s">
        <v>12190</v>
      </c>
      <c r="O160" s="2"/>
      <c r="P160" s="2"/>
    </row>
  </sheetData>
  <mergeCells count="1">
    <mergeCell ref="A1:F1"/>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P52"/>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8" t="s">
        <v>84</v>
      </c>
      <c r="B3" s="2" t="s">
        <v>12191</v>
      </c>
      <c r="C3" s="2"/>
      <c r="D3" s="2" t="s">
        <v>3010</v>
      </c>
      <c r="E3" s="2" t="s">
        <v>4043</v>
      </c>
      <c r="F3" s="2" t="s">
        <v>4016</v>
      </c>
      <c r="G3" s="2" t="s">
        <v>12192</v>
      </c>
      <c r="H3" s="2" t="s">
        <v>12193</v>
      </c>
      <c r="I3" s="8">
        <v>1</v>
      </c>
      <c r="J3" s="2" t="s">
        <v>12194</v>
      </c>
      <c r="K3" s="2"/>
      <c r="L3" s="2" t="s">
        <v>12195</v>
      </c>
      <c r="M3" s="2" t="s">
        <v>29</v>
      </c>
      <c r="N3" s="2" t="s">
        <v>11435</v>
      </c>
      <c r="O3" s="2"/>
      <c r="P3" s="2"/>
    </row>
    <row r="4" spans="1:16" ht="13.2" customHeight="1" x14ac:dyDescent="0.25">
      <c r="A4" s="8" t="s">
        <v>96</v>
      </c>
      <c r="B4" s="2" t="s">
        <v>12196</v>
      </c>
      <c r="C4" s="2"/>
      <c r="D4" s="2" t="s">
        <v>12197</v>
      </c>
      <c r="E4" s="2" t="s">
        <v>12198</v>
      </c>
      <c r="F4" s="2" t="s">
        <v>12199</v>
      </c>
      <c r="G4" s="2" t="s">
        <v>12200</v>
      </c>
      <c r="H4" s="2" t="s">
        <v>12201</v>
      </c>
      <c r="I4" s="8">
        <v>5</v>
      </c>
      <c r="J4" s="2" t="s">
        <v>12202</v>
      </c>
      <c r="K4" s="2"/>
      <c r="L4" s="2" t="s">
        <v>12195</v>
      </c>
      <c r="M4" s="2" t="s">
        <v>29</v>
      </c>
      <c r="N4" s="2" t="s">
        <v>10056</v>
      </c>
      <c r="O4" s="2"/>
      <c r="P4" s="2"/>
    </row>
    <row r="5" spans="1:16" ht="13.2" customHeight="1" x14ac:dyDescent="0.25">
      <c r="A5" s="8" t="s">
        <v>90</v>
      </c>
      <c r="B5" s="2" t="s">
        <v>12203</v>
      </c>
      <c r="C5" s="2"/>
      <c r="D5" s="2" t="s">
        <v>12204</v>
      </c>
      <c r="E5" s="2" t="s">
        <v>12205</v>
      </c>
      <c r="F5" s="2" t="s">
        <v>12206</v>
      </c>
      <c r="G5" s="2" t="s">
        <v>12207</v>
      </c>
      <c r="H5" s="2" t="s">
        <v>5574</v>
      </c>
      <c r="I5" s="8">
        <v>2</v>
      </c>
      <c r="J5" s="2" t="s">
        <v>12208</v>
      </c>
      <c r="K5" s="2"/>
      <c r="L5" s="2" t="s">
        <v>12209</v>
      </c>
      <c r="M5" s="2" t="s">
        <v>29</v>
      </c>
      <c r="N5" s="2" t="s">
        <v>1697</v>
      </c>
      <c r="O5" s="2"/>
      <c r="P5" s="2"/>
    </row>
    <row r="6" spans="1:16" ht="13.2" customHeight="1" x14ac:dyDescent="0.25">
      <c r="A6" s="8" t="s">
        <v>113</v>
      </c>
      <c r="B6" s="2" t="s">
        <v>12210</v>
      </c>
      <c r="C6" s="2"/>
      <c r="D6" s="2" t="s">
        <v>12211</v>
      </c>
      <c r="E6" s="2" t="s">
        <v>12212</v>
      </c>
      <c r="F6" s="2" t="s">
        <v>12213</v>
      </c>
      <c r="G6" s="2" t="s">
        <v>12214</v>
      </c>
      <c r="H6" s="2" t="s">
        <v>12215</v>
      </c>
      <c r="I6" s="8">
        <v>4</v>
      </c>
      <c r="J6" s="2" t="s">
        <v>12216</v>
      </c>
      <c r="K6" s="2"/>
      <c r="L6" s="2" t="s">
        <v>12209</v>
      </c>
      <c r="M6" s="2" t="s">
        <v>29</v>
      </c>
      <c r="N6" s="2" t="s">
        <v>6471</v>
      </c>
      <c r="O6" s="2"/>
      <c r="P6" s="2"/>
    </row>
    <row r="7" spans="1:16" ht="13.2" customHeight="1" x14ac:dyDescent="0.25">
      <c r="A7" s="8" t="s">
        <v>132</v>
      </c>
      <c r="B7" s="2" t="s">
        <v>12217</v>
      </c>
      <c r="C7" s="2"/>
      <c r="D7" s="2" t="s">
        <v>12218</v>
      </c>
      <c r="E7" s="2" t="s">
        <v>12201</v>
      </c>
      <c r="F7" s="2" t="s">
        <v>12219</v>
      </c>
      <c r="G7" s="2" t="s">
        <v>12220</v>
      </c>
      <c r="H7" s="2" t="s">
        <v>12221</v>
      </c>
      <c r="I7" s="8">
        <v>2</v>
      </c>
      <c r="J7" s="2" t="s">
        <v>12222</v>
      </c>
      <c r="K7" s="2"/>
      <c r="L7" s="2" t="s">
        <v>12209</v>
      </c>
      <c r="M7" s="2" t="s">
        <v>29</v>
      </c>
      <c r="N7" s="2" t="s">
        <v>12223</v>
      </c>
      <c r="O7" s="2"/>
      <c r="P7" s="2"/>
    </row>
    <row r="8" spans="1:16" ht="13.2" customHeight="1" x14ac:dyDescent="0.25">
      <c r="A8" s="8" t="s">
        <v>10084</v>
      </c>
      <c r="B8" s="2" t="s">
        <v>12224</v>
      </c>
      <c r="C8" s="2"/>
      <c r="D8" s="2" t="s">
        <v>12225</v>
      </c>
      <c r="E8" s="2" t="s">
        <v>12226</v>
      </c>
      <c r="F8" s="2" t="s">
        <v>12227</v>
      </c>
      <c r="G8" s="2" t="s">
        <v>12228</v>
      </c>
      <c r="H8" s="2" t="s">
        <v>12229</v>
      </c>
      <c r="I8" s="8">
        <v>3</v>
      </c>
      <c r="J8" s="2" t="s">
        <v>12230</v>
      </c>
      <c r="K8" s="2"/>
      <c r="L8" s="2" t="s">
        <v>12209</v>
      </c>
      <c r="M8" s="2" t="s">
        <v>29</v>
      </c>
      <c r="N8" s="2" t="s">
        <v>11480</v>
      </c>
      <c r="O8" s="2"/>
      <c r="P8" s="2"/>
    </row>
    <row r="9" spans="1:16" ht="13.2" customHeight="1" x14ac:dyDescent="0.25">
      <c r="A9" s="8" t="s">
        <v>10093</v>
      </c>
      <c r="B9" s="2" t="s">
        <v>12231</v>
      </c>
      <c r="C9" s="2"/>
      <c r="D9" s="2" t="s">
        <v>12232</v>
      </c>
      <c r="E9" s="2" t="s">
        <v>12233</v>
      </c>
      <c r="F9" s="2" t="s">
        <v>12234</v>
      </c>
      <c r="G9" s="2" t="s">
        <v>12235</v>
      </c>
      <c r="H9" s="2" t="s">
        <v>12236</v>
      </c>
      <c r="I9" s="8">
        <v>3</v>
      </c>
      <c r="J9" s="2" t="s">
        <v>12237</v>
      </c>
      <c r="K9" s="2"/>
      <c r="L9" s="2" t="s">
        <v>12209</v>
      </c>
      <c r="M9" s="2" t="s">
        <v>29</v>
      </c>
      <c r="N9" s="2" t="s">
        <v>10101</v>
      </c>
      <c r="O9" s="2"/>
      <c r="P9" s="2"/>
    </row>
    <row r="10" spans="1:16" ht="13.2" customHeight="1" x14ac:dyDescent="0.25">
      <c r="A10" s="8" t="s">
        <v>10102</v>
      </c>
      <c r="B10" s="2" t="s">
        <v>12238</v>
      </c>
      <c r="C10" s="2"/>
      <c r="D10" s="2" t="s">
        <v>12239</v>
      </c>
      <c r="E10" s="2" t="s">
        <v>10061</v>
      </c>
      <c r="F10" s="2" t="s">
        <v>12240</v>
      </c>
      <c r="G10" s="2" t="s">
        <v>10971</v>
      </c>
      <c r="H10" s="2" t="s">
        <v>12241</v>
      </c>
      <c r="I10" s="8">
        <v>1</v>
      </c>
      <c r="J10" s="2" t="s">
        <v>12242</v>
      </c>
      <c r="K10" s="2"/>
      <c r="L10" s="2" t="s">
        <v>12209</v>
      </c>
      <c r="M10" s="2" t="s">
        <v>29</v>
      </c>
      <c r="N10" s="2" t="s">
        <v>10110</v>
      </c>
      <c r="O10" s="2"/>
      <c r="P10" s="2"/>
    </row>
    <row r="11" spans="1:16" ht="13.2" customHeight="1" x14ac:dyDescent="0.25">
      <c r="A11" s="8" t="s">
        <v>10111</v>
      </c>
      <c r="B11" s="2" t="s">
        <v>12243</v>
      </c>
      <c r="C11" s="2"/>
      <c r="D11" s="2" t="s">
        <v>4015</v>
      </c>
      <c r="E11" s="2" t="s">
        <v>4016</v>
      </c>
      <c r="F11" s="2" t="s">
        <v>3317</v>
      </c>
      <c r="G11" s="2" t="s">
        <v>3010</v>
      </c>
      <c r="H11" s="2" t="s">
        <v>12244</v>
      </c>
      <c r="I11" s="8">
        <v>3</v>
      </c>
      <c r="J11" s="2" t="s">
        <v>12245</v>
      </c>
      <c r="K11" s="2"/>
      <c r="L11" s="2" t="s">
        <v>12209</v>
      </c>
      <c r="M11" s="2" t="s">
        <v>29</v>
      </c>
      <c r="N11" s="2" t="s">
        <v>6511</v>
      </c>
      <c r="O11" s="2"/>
      <c r="P11" s="2"/>
    </row>
    <row r="12" spans="1:16" ht="13.2" customHeight="1" x14ac:dyDescent="0.25">
      <c r="A12" s="8" t="s">
        <v>10119</v>
      </c>
      <c r="B12" s="2" t="s">
        <v>12246</v>
      </c>
      <c r="C12" s="2"/>
      <c r="D12" s="2" t="s">
        <v>2724</v>
      </c>
      <c r="E12" s="2" t="s">
        <v>2722</v>
      </c>
      <c r="F12" s="2" t="s">
        <v>5675</v>
      </c>
      <c r="G12" s="2" t="s">
        <v>2721</v>
      </c>
      <c r="H12" s="2" t="s">
        <v>12247</v>
      </c>
      <c r="I12" s="8">
        <v>3</v>
      </c>
      <c r="J12" s="2" t="s">
        <v>12248</v>
      </c>
      <c r="K12" s="2"/>
      <c r="L12" s="2" t="s">
        <v>12209</v>
      </c>
      <c r="M12" s="2" t="s">
        <v>29</v>
      </c>
      <c r="N12" s="2" t="s">
        <v>735</v>
      </c>
      <c r="O12" s="2"/>
      <c r="P12" s="2"/>
    </row>
    <row r="13" spans="1:16" ht="13.2" customHeight="1" x14ac:dyDescent="0.25">
      <c r="A13" s="8" t="s">
        <v>10123</v>
      </c>
      <c r="B13" s="2" t="s">
        <v>12249</v>
      </c>
      <c r="C13" s="2"/>
      <c r="D13" s="2" t="s">
        <v>12250</v>
      </c>
      <c r="E13" s="2" t="s">
        <v>12251</v>
      </c>
      <c r="F13" s="2" t="s">
        <v>12252</v>
      </c>
      <c r="G13" s="2" t="s">
        <v>12253</v>
      </c>
      <c r="H13" s="2" t="s">
        <v>12254</v>
      </c>
      <c r="I13" s="8">
        <v>1</v>
      </c>
      <c r="J13" s="2" t="s">
        <v>12255</v>
      </c>
      <c r="K13" s="2"/>
      <c r="L13" s="2" t="s">
        <v>12209</v>
      </c>
      <c r="M13" s="2" t="s">
        <v>29</v>
      </c>
      <c r="N13" s="2" t="s">
        <v>12256</v>
      </c>
      <c r="O13" s="2"/>
      <c r="P13" s="2"/>
    </row>
    <row r="14" spans="1:16" ht="13.2" customHeight="1" x14ac:dyDescent="0.25">
      <c r="A14" s="8" t="s">
        <v>10130</v>
      </c>
      <c r="B14" s="2" t="s">
        <v>12257</v>
      </c>
      <c r="C14" s="2"/>
      <c r="D14" s="2" t="s">
        <v>12258</v>
      </c>
      <c r="E14" s="2" t="s">
        <v>12259</v>
      </c>
      <c r="F14" s="2" t="s">
        <v>12260</v>
      </c>
      <c r="G14" s="2" t="s">
        <v>12261</v>
      </c>
      <c r="H14" s="2" t="s">
        <v>12262</v>
      </c>
      <c r="I14" s="8">
        <v>2</v>
      </c>
      <c r="J14" s="2" t="s">
        <v>12263</v>
      </c>
      <c r="K14" s="2"/>
      <c r="L14" s="2" t="s">
        <v>12209</v>
      </c>
      <c r="M14" s="2" t="s">
        <v>29</v>
      </c>
      <c r="N14" s="2" t="s">
        <v>1771</v>
      </c>
      <c r="O14" s="2"/>
      <c r="P14" s="2"/>
    </row>
    <row r="15" spans="1:16" ht="13.2" customHeight="1" x14ac:dyDescent="0.25">
      <c r="A15" s="8" t="s">
        <v>10137</v>
      </c>
      <c r="B15" s="2" t="s">
        <v>12264</v>
      </c>
      <c r="C15" s="2"/>
      <c r="D15" s="2" t="s">
        <v>12265</v>
      </c>
      <c r="E15" s="2" t="s">
        <v>12266</v>
      </c>
      <c r="F15" s="2" t="s">
        <v>4208</v>
      </c>
      <c r="G15" s="2" t="s">
        <v>12267</v>
      </c>
      <c r="H15" s="2" t="s">
        <v>12268</v>
      </c>
      <c r="I15" s="8">
        <v>5</v>
      </c>
      <c r="J15" s="2" t="s">
        <v>12269</v>
      </c>
      <c r="K15" s="2"/>
      <c r="L15" s="2" t="s">
        <v>12195</v>
      </c>
      <c r="M15" s="2" t="s">
        <v>29</v>
      </c>
      <c r="N15" s="2" t="s">
        <v>7097</v>
      </c>
      <c r="O15" s="2"/>
      <c r="P15" s="2"/>
    </row>
    <row r="16" spans="1:16" ht="13.2" customHeight="1" x14ac:dyDescent="0.25">
      <c r="A16" s="8" t="s">
        <v>10142</v>
      </c>
      <c r="B16" s="2" t="s">
        <v>12270</v>
      </c>
      <c r="C16" s="2"/>
      <c r="D16" s="2" t="s">
        <v>12271</v>
      </c>
      <c r="E16" s="2" t="s">
        <v>12272</v>
      </c>
      <c r="F16" s="2" t="s">
        <v>12273</v>
      </c>
      <c r="G16" s="2" t="s">
        <v>12274</v>
      </c>
      <c r="H16" s="2" t="s">
        <v>12275</v>
      </c>
      <c r="I16" s="8">
        <v>5</v>
      </c>
      <c r="J16" s="2" t="s">
        <v>12276</v>
      </c>
      <c r="K16" s="2"/>
      <c r="L16" s="2" t="s">
        <v>12195</v>
      </c>
      <c r="M16" s="2" t="s">
        <v>29</v>
      </c>
      <c r="N16" s="2" t="s">
        <v>5329</v>
      </c>
      <c r="O16" s="2"/>
      <c r="P16" s="2"/>
    </row>
    <row r="17" spans="1:16" ht="13.2" customHeight="1" x14ac:dyDescent="0.25">
      <c r="A17" s="8" t="s">
        <v>10146</v>
      </c>
      <c r="B17" s="2" t="s">
        <v>12277</v>
      </c>
      <c r="C17" s="2"/>
      <c r="D17" s="2" t="s">
        <v>12278</v>
      </c>
      <c r="E17" s="2" t="s">
        <v>7405</v>
      </c>
      <c r="F17" s="2" t="s">
        <v>7493</v>
      </c>
      <c r="G17" s="2" t="s">
        <v>12279</v>
      </c>
      <c r="H17" s="2" t="s">
        <v>12280</v>
      </c>
      <c r="I17" s="8">
        <v>1</v>
      </c>
      <c r="J17" s="2" t="s">
        <v>12281</v>
      </c>
      <c r="K17" s="2"/>
      <c r="L17" s="2" t="s">
        <v>12209</v>
      </c>
      <c r="M17" s="2" t="s">
        <v>29</v>
      </c>
      <c r="N17" s="2" t="s">
        <v>9392</v>
      </c>
      <c r="O17" s="2"/>
      <c r="P17" s="2"/>
    </row>
    <row r="18" spans="1:16" ht="13.2" customHeight="1" x14ac:dyDescent="0.25">
      <c r="A18" s="8" t="s">
        <v>10154</v>
      </c>
      <c r="B18" s="2" t="s">
        <v>12282</v>
      </c>
      <c r="C18" s="2"/>
      <c r="D18" s="2" t="s">
        <v>4018</v>
      </c>
      <c r="E18" s="2" t="s">
        <v>3010</v>
      </c>
      <c r="F18" s="2" t="s">
        <v>12283</v>
      </c>
      <c r="G18" s="2" t="s">
        <v>12192</v>
      </c>
      <c r="H18" s="2" t="s">
        <v>12284</v>
      </c>
      <c r="I18" s="8">
        <v>2</v>
      </c>
      <c r="J18" s="2" t="s">
        <v>12285</v>
      </c>
      <c r="K18" s="2"/>
      <c r="L18" s="2" t="s">
        <v>12195</v>
      </c>
      <c r="M18" s="2" t="s">
        <v>29</v>
      </c>
      <c r="N18" s="2" t="s">
        <v>12286</v>
      </c>
      <c r="O18" s="2"/>
      <c r="P18" s="2"/>
    </row>
    <row r="19" spans="1:16" ht="13.2" customHeight="1" x14ac:dyDescent="0.25">
      <c r="A19" s="8" t="s">
        <v>10162</v>
      </c>
      <c r="B19" s="2" t="s">
        <v>12287</v>
      </c>
      <c r="C19" s="2"/>
      <c r="D19" s="2" t="s">
        <v>12288</v>
      </c>
      <c r="E19" s="2" t="s">
        <v>12289</v>
      </c>
      <c r="F19" s="2" t="s">
        <v>12290</v>
      </c>
      <c r="G19" s="2" t="s">
        <v>12291</v>
      </c>
      <c r="H19" s="2" t="s">
        <v>12292</v>
      </c>
      <c r="I19" s="8">
        <v>5</v>
      </c>
      <c r="J19" s="2" t="s">
        <v>12293</v>
      </c>
      <c r="K19" s="2"/>
      <c r="L19" s="2" t="s">
        <v>12209</v>
      </c>
      <c r="M19" s="2" t="s">
        <v>29</v>
      </c>
      <c r="N19" s="2" t="s">
        <v>8451</v>
      </c>
      <c r="O19" s="2"/>
      <c r="P19" s="2"/>
    </row>
    <row r="20" spans="1:16" ht="13.2" customHeight="1" x14ac:dyDescent="0.25">
      <c r="A20" s="8" t="s">
        <v>10169</v>
      </c>
      <c r="B20" s="2" t="s">
        <v>12294</v>
      </c>
      <c r="C20" s="2"/>
      <c r="D20" s="2" t="s">
        <v>12295</v>
      </c>
      <c r="E20" s="2" t="s">
        <v>12296</v>
      </c>
      <c r="F20" s="2" t="s">
        <v>12297</v>
      </c>
      <c r="G20" s="2" t="s">
        <v>12298</v>
      </c>
      <c r="H20" s="2" t="s">
        <v>12299</v>
      </c>
      <c r="I20" s="8">
        <v>1</v>
      </c>
      <c r="J20" s="2" t="s">
        <v>12300</v>
      </c>
      <c r="K20" s="2"/>
      <c r="L20" s="2" t="s">
        <v>12209</v>
      </c>
      <c r="M20" s="2" t="s">
        <v>29</v>
      </c>
      <c r="N20" s="2" t="s">
        <v>12301</v>
      </c>
      <c r="O20" s="2"/>
      <c r="P20" s="2"/>
    </row>
    <row r="21" spans="1:16" ht="13.2" customHeight="1" x14ac:dyDescent="0.25">
      <c r="A21" s="8" t="s">
        <v>10177</v>
      </c>
      <c r="B21" s="2" t="s">
        <v>12302</v>
      </c>
      <c r="C21" s="2"/>
      <c r="D21" s="2" t="s">
        <v>5062</v>
      </c>
      <c r="E21" s="2" t="s">
        <v>5063</v>
      </c>
      <c r="F21" s="2" t="s">
        <v>12303</v>
      </c>
      <c r="G21" s="2" t="s">
        <v>9326</v>
      </c>
      <c r="H21" s="2" t="s">
        <v>12304</v>
      </c>
      <c r="I21" s="8">
        <v>1</v>
      </c>
      <c r="J21" s="2" t="s">
        <v>12305</v>
      </c>
      <c r="K21" s="2"/>
      <c r="L21" s="2" t="s">
        <v>12209</v>
      </c>
      <c r="M21" s="2" t="s">
        <v>29</v>
      </c>
      <c r="N21" s="2" t="s">
        <v>2862</v>
      </c>
      <c r="O21" s="2"/>
      <c r="P21" s="2"/>
    </row>
    <row r="22" spans="1:16" ht="13.2" customHeight="1" x14ac:dyDescent="0.25">
      <c r="A22" s="8" t="s">
        <v>10183</v>
      </c>
      <c r="B22" s="2" t="s">
        <v>12306</v>
      </c>
      <c r="C22" s="2"/>
      <c r="D22" s="2" t="s">
        <v>12307</v>
      </c>
      <c r="E22" s="2" t="s">
        <v>12308</v>
      </c>
      <c r="F22" s="2" t="s">
        <v>12309</v>
      </c>
      <c r="G22" s="2" t="s">
        <v>12310</v>
      </c>
      <c r="H22" s="2" t="s">
        <v>12311</v>
      </c>
      <c r="I22" s="8">
        <v>2</v>
      </c>
      <c r="J22" s="2" t="s">
        <v>12312</v>
      </c>
      <c r="K22" s="2"/>
      <c r="L22" s="2" t="s">
        <v>12209</v>
      </c>
      <c r="M22" s="2" t="s">
        <v>29</v>
      </c>
      <c r="N22" s="2" t="s">
        <v>793</v>
      </c>
      <c r="O22" s="2"/>
      <c r="P22" s="2"/>
    </row>
    <row r="23" spans="1:16" ht="13.2" customHeight="1" x14ac:dyDescent="0.25">
      <c r="A23" s="8" t="s">
        <v>10189</v>
      </c>
      <c r="B23" s="2" t="s">
        <v>12313</v>
      </c>
      <c r="C23" s="2"/>
      <c r="D23" s="2" t="s">
        <v>12314</v>
      </c>
      <c r="E23" s="2" t="s">
        <v>12315</v>
      </c>
      <c r="F23" s="2" t="s">
        <v>12316</v>
      </c>
      <c r="G23" s="2" t="s">
        <v>12317</v>
      </c>
      <c r="H23" s="2" t="s">
        <v>12318</v>
      </c>
      <c r="I23" s="8">
        <v>1</v>
      </c>
      <c r="J23" s="2" t="s">
        <v>12319</v>
      </c>
      <c r="K23" s="2"/>
      <c r="L23" s="2" t="s">
        <v>12209</v>
      </c>
      <c r="M23" s="2" t="s">
        <v>29</v>
      </c>
      <c r="N23" s="2" t="s">
        <v>12320</v>
      </c>
      <c r="O23" s="2"/>
      <c r="P23" s="2"/>
    </row>
    <row r="24" spans="1:16" ht="13.2" customHeight="1" x14ac:dyDescent="0.25">
      <c r="A24" s="8" t="s">
        <v>10197</v>
      </c>
      <c r="B24" s="2" t="s">
        <v>12321</v>
      </c>
      <c r="C24" s="2"/>
      <c r="D24" s="2" t="s">
        <v>12322</v>
      </c>
      <c r="E24" s="2" t="s">
        <v>12323</v>
      </c>
      <c r="F24" s="2" t="s">
        <v>12324</v>
      </c>
      <c r="G24" s="2" t="s">
        <v>12325</v>
      </c>
      <c r="H24" s="2" t="s">
        <v>12326</v>
      </c>
      <c r="I24" s="8">
        <v>1</v>
      </c>
      <c r="J24" s="2" t="s">
        <v>12327</v>
      </c>
      <c r="K24" s="2"/>
      <c r="L24" s="2" t="s">
        <v>12209</v>
      </c>
      <c r="M24" s="2" t="s">
        <v>29</v>
      </c>
      <c r="N24" s="2" t="s">
        <v>12328</v>
      </c>
      <c r="O24" s="2"/>
      <c r="P24" s="2"/>
    </row>
    <row r="25" spans="1:16" ht="13.2" customHeight="1" x14ac:dyDescent="0.25">
      <c r="A25" s="8" t="s">
        <v>10207</v>
      </c>
      <c r="B25" s="2" t="s">
        <v>12329</v>
      </c>
      <c r="C25" s="2"/>
      <c r="D25" s="2" t="s">
        <v>5062</v>
      </c>
      <c r="E25" s="2" t="s">
        <v>12330</v>
      </c>
      <c r="F25" s="2" t="s">
        <v>5064</v>
      </c>
      <c r="G25" s="2" t="s">
        <v>12331</v>
      </c>
      <c r="H25" s="2" t="s">
        <v>5063</v>
      </c>
      <c r="I25" s="8">
        <v>1</v>
      </c>
      <c r="J25" s="2" t="s">
        <v>12332</v>
      </c>
      <c r="K25" s="2"/>
      <c r="L25" s="2" t="s">
        <v>12209</v>
      </c>
      <c r="M25" s="2" t="s">
        <v>29</v>
      </c>
      <c r="N25" s="2" t="s">
        <v>12333</v>
      </c>
      <c r="O25" s="2"/>
      <c r="P25" s="2"/>
    </row>
    <row r="26" spans="1:16" ht="13.2" customHeight="1" x14ac:dyDescent="0.25">
      <c r="A26" s="8" t="s">
        <v>10214</v>
      </c>
      <c r="B26" s="2" t="s">
        <v>12334</v>
      </c>
      <c r="C26" s="2"/>
      <c r="D26" s="2" t="s">
        <v>12335</v>
      </c>
      <c r="E26" s="2" t="s">
        <v>12336</v>
      </c>
      <c r="F26" s="2" t="s">
        <v>12337</v>
      </c>
      <c r="G26" s="2" t="s">
        <v>12338</v>
      </c>
      <c r="H26" s="2" t="s">
        <v>12339</v>
      </c>
      <c r="I26" s="8">
        <v>1</v>
      </c>
      <c r="J26" s="2" t="s">
        <v>12340</v>
      </c>
      <c r="K26" s="2"/>
      <c r="L26" s="2" t="s">
        <v>12209</v>
      </c>
      <c r="M26" s="2" t="s">
        <v>29</v>
      </c>
      <c r="N26" s="2" t="s">
        <v>12341</v>
      </c>
      <c r="O26" s="2"/>
      <c r="P26" s="2"/>
    </row>
    <row r="27" spans="1:16" ht="13.2" customHeight="1" x14ac:dyDescent="0.25">
      <c r="A27" s="8" t="s">
        <v>10222</v>
      </c>
      <c r="B27" s="2" t="s">
        <v>12342</v>
      </c>
      <c r="C27" s="2"/>
      <c r="D27" s="2" t="s">
        <v>12343</v>
      </c>
      <c r="E27" s="2" t="s">
        <v>12344</v>
      </c>
      <c r="F27" s="2" t="s">
        <v>12345</v>
      </c>
      <c r="G27" s="2" t="s">
        <v>12346</v>
      </c>
      <c r="H27" s="2" t="s">
        <v>12347</v>
      </c>
      <c r="I27" s="8">
        <v>1</v>
      </c>
      <c r="J27" s="2" t="s">
        <v>12348</v>
      </c>
      <c r="K27" s="2"/>
      <c r="L27" s="2" t="s">
        <v>12195</v>
      </c>
      <c r="M27" s="2" t="s">
        <v>29</v>
      </c>
      <c r="N27" s="2" t="s">
        <v>7452</v>
      </c>
      <c r="O27" s="2"/>
      <c r="P27" s="2"/>
    </row>
    <row r="28" spans="1:16" ht="13.2" customHeight="1" x14ac:dyDescent="0.25">
      <c r="A28" s="8" t="s">
        <v>10231</v>
      </c>
      <c r="B28" s="2" t="s">
        <v>12349</v>
      </c>
      <c r="C28" s="2"/>
      <c r="D28" s="2" t="s">
        <v>12346</v>
      </c>
      <c r="E28" s="2" t="s">
        <v>12347</v>
      </c>
      <c r="F28" s="2" t="s">
        <v>12350</v>
      </c>
      <c r="G28" s="2" t="s">
        <v>12351</v>
      </c>
      <c r="H28" s="2" t="s">
        <v>12352</v>
      </c>
      <c r="I28" s="8">
        <v>1</v>
      </c>
      <c r="J28" s="2" t="s">
        <v>12353</v>
      </c>
      <c r="K28" s="2"/>
      <c r="L28" s="2" t="s">
        <v>12195</v>
      </c>
      <c r="M28" s="2" t="s">
        <v>29</v>
      </c>
      <c r="N28" s="2" t="s">
        <v>7452</v>
      </c>
      <c r="O28" s="2"/>
      <c r="P28" s="2"/>
    </row>
    <row r="29" spans="1:16" ht="13.2" customHeight="1" x14ac:dyDescent="0.25">
      <c r="A29" s="8" t="s">
        <v>10238</v>
      </c>
      <c r="B29" s="2" t="s">
        <v>12354</v>
      </c>
      <c r="C29" s="2"/>
      <c r="D29" s="2" t="s">
        <v>12351</v>
      </c>
      <c r="E29" s="2" t="s">
        <v>12352</v>
      </c>
      <c r="F29" s="2" t="s">
        <v>12355</v>
      </c>
      <c r="G29" s="2" t="s">
        <v>12356</v>
      </c>
      <c r="H29" s="2" t="s">
        <v>12343</v>
      </c>
      <c r="I29" s="8">
        <v>1</v>
      </c>
      <c r="J29" s="2" t="s">
        <v>12357</v>
      </c>
      <c r="K29" s="2"/>
      <c r="L29" s="2" t="s">
        <v>12209</v>
      </c>
      <c r="M29" s="2" t="s">
        <v>29</v>
      </c>
      <c r="N29" s="2" t="s">
        <v>7452</v>
      </c>
      <c r="O29" s="2"/>
      <c r="P29" s="2"/>
    </row>
    <row r="30" spans="1:16" ht="13.2" customHeight="1" x14ac:dyDescent="0.25">
      <c r="A30" s="8" t="s">
        <v>10246</v>
      </c>
      <c r="B30" s="2" t="s">
        <v>12358</v>
      </c>
      <c r="C30" s="2"/>
      <c r="D30" s="2" t="s">
        <v>12356</v>
      </c>
      <c r="E30" s="2" t="s">
        <v>12343</v>
      </c>
      <c r="F30" s="2" t="s">
        <v>12344</v>
      </c>
      <c r="G30" s="2" t="s">
        <v>12345</v>
      </c>
      <c r="H30" s="2" t="s">
        <v>12346</v>
      </c>
      <c r="I30" s="8">
        <v>1</v>
      </c>
      <c r="J30" s="2" t="s">
        <v>12359</v>
      </c>
      <c r="K30" s="2"/>
      <c r="L30" s="2" t="s">
        <v>12209</v>
      </c>
      <c r="M30" s="2" t="s">
        <v>29</v>
      </c>
      <c r="N30" s="2" t="s">
        <v>9020</v>
      </c>
      <c r="O30" s="2"/>
      <c r="P30" s="2"/>
    </row>
    <row r="31" spans="1:16" ht="13.2" customHeight="1" x14ac:dyDescent="0.25">
      <c r="A31" s="8" t="s">
        <v>10250</v>
      </c>
      <c r="B31" s="2" t="s">
        <v>12360</v>
      </c>
      <c r="C31" s="2"/>
      <c r="D31" s="2" t="s">
        <v>12345</v>
      </c>
      <c r="E31" s="2" t="s">
        <v>12346</v>
      </c>
      <c r="F31" s="2" t="s">
        <v>12347</v>
      </c>
      <c r="G31" s="2" t="s">
        <v>12350</v>
      </c>
      <c r="H31" s="2" t="s">
        <v>12351</v>
      </c>
      <c r="I31" s="8">
        <v>1</v>
      </c>
      <c r="J31" s="2" t="s">
        <v>12361</v>
      </c>
      <c r="K31" s="2"/>
      <c r="L31" s="2" t="s">
        <v>12209</v>
      </c>
      <c r="M31" s="2" t="s">
        <v>29</v>
      </c>
      <c r="N31" s="2" t="s">
        <v>3595</v>
      </c>
      <c r="O31" s="2"/>
      <c r="P31" s="2"/>
    </row>
    <row r="32" spans="1:16" ht="13.2" customHeight="1" x14ac:dyDescent="0.25">
      <c r="A32" s="8" t="s">
        <v>10257</v>
      </c>
      <c r="B32" s="2" t="s">
        <v>12362</v>
      </c>
      <c r="C32" s="2"/>
      <c r="D32" s="2" t="s">
        <v>12363</v>
      </c>
      <c r="E32" s="2" t="s">
        <v>12364</v>
      </c>
      <c r="F32" s="2" t="s">
        <v>12365</v>
      </c>
      <c r="G32" s="2" t="s">
        <v>12366</v>
      </c>
      <c r="H32" s="2" t="s">
        <v>12367</v>
      </c>
      <c r="I32" s="8">
        <v>1</v>
      </c>
      <c r="J32" s="2" t="s">
        <v>12368</v>
      </c>
      <c r="K32" s="2"/>
      <c r="L32" s="2" t="s">
        <v>12195</v>
      </c>
      <c r="M32" s="2" t="s">
        <v>29</v>
      </c>
      <c r="N32" s="2" t="s">
        <v>3634</v>
      </c>
      <c r="O32" s="2"/>
      <c r="P32" s="2"/>
    </row>
    <row r="33" spans="1:16" ht="13.2" customHeight="1" x14ac:dyDescent="0.25">
      <c r="A33" s="8" t="s">
        <v>10261</v>
      </c>
      <c r="B33" s="2" t="s">
        <v>12369</v>
      </c>
      <c r="C33" s="2"/>
      <c r="D33" s="2" t="s">
        <v>12370</v>
      </c>
      <c r="E33" s="2" t="s">
        <v>12371</v>
      </c>
      <c r="F33" s="2" t="s">
        <v>12372</v>
      </c>
      <c r="G33" s="2" t="s">
        <v>12373</v>
      </c>
      <c r="H33" s="2" t="s">
        <v>12374</v>
      </c>
      <c r="I33" s="8">
        <v>4</v>
      </c>
      <c r="J33" s="2" t="s">
        <v>12375</v>
      </c>
      <c r="K33" s="2"/>
      <c r="L33" s="2" t="s">
        <v>12209</v>
      </c>
      <c r="M33" s="2" t="s">
        <v>29</v>
      </c>
      <c r="N33" s="2" t="s">
        <v>6881</v>
      </c>
      <c r="O33" s="2"/>
      <c r="P33" s="2"/>
    </row>
    <row r="34" spans="1:16" ht="13.2" customHeight="1" x14ac:dyDescent="0.25">
      <c r="A34" s="8" t="s">
        <v>10267</v>
      </c>
      <c r="B34" s="2" t="s">
        <v>12376</v>
      </c>
      <c r="C34" s="2"/>
      <c r="D34" s="2" t="s">
        <v>3824</v>
      </c>
      <c r="E34" s="2" t="s">
        <v>12377</v>
      </c>
      <c r="F34" s="2" t="s">
        <v>12378</v>
      </c>
      <c r="G34" s="2" t="s">
        <v>9236</v>
      </c>
      <c r="H34" s="2" t="s">
        <v>12379</v>
      </c>
      <c r="I34" s="8">
        <v>1</v>
      </c>
      <c r="J34" s="2" t="s">
        <v>12380</v>
      </c>
      <c r="K34" s="2"/>
      <c r="L34" s="2" t="s">
        <v>12195</v>
      </c>
      <c r="M34" s="2" t="s">
        <v>29</v>
      </c>
      <c r="N34" s="2" t="s">
        <v>3797</v>
      </c>
      <c r="O34" s="2"/>
      <c r="P34" s="2"/>
    </row>
    <row r="35" spans="1:16" ht="13.2" customHeight="1" x14ac:dyDescent="0.25">
      <c r="A35" s="8" t="s">
        <v>10920</v>
      </c>
      <c r="B35" s="2" t="s">
        <v>12381</v>
      </c>
      <c r="C35" s="2"/>
      <c r="D35" s="2" t="s">
        <v>12382</v>
      </c>
      <c r="E35" s="2" t="s">
        <v>12383</v>
      </c>
      <c r="F35" s="2" t="s">
        <v>12384</v>
      </c>
      <c r="G35" s="2" t="s">
        <v>12385</v>
      </c>
      <c r="H35" s="2" t="s">
        <v>12386</v>
      </c>
      <c r="I35" s="8">
        <v>1</v>
      </c>
      <c r="J35" s="2" t="s">
        <v>12387</v>
      </c>
      <c r="K35" s="2"/>
      <c r="L35" s="2" t="s">
        <v>12209</v>
      </c>
      <c r="M35" s="2" t="s">
        <v>29</v>
      </c>
      <c r="N35" s="2" t="s">
        <v>2556</v>
      </c>
      <c r="O35" s="2"/>
      <c r="P35" s="2"/>
    </row>
    <row r="36" spans="1:16" ht="13.2" customHeight="1" x14ac:dyDescent="0.25">
      <c r="A36" s="8" t="s">
        <v>10275</v>
      </c>
      <c r="B36" s="2" t="s">
        <v>12388</v>
      </c>
      <c r="C36" s="2"/>
      <c r="D36" s="2" t="s">
        <v>12389</v>
      </c>
      <c r="E36" s="2" t="s">
        <v>12390</v>
      </c>
      <c r="F36" s="2" t="s">
        <v>12391</v>
      </c>
      <c r="G36" s="2" t="s">
        <v>12392</v>
      </c>
      <c r="H36" s="2" t="s">
        <v>12393</v>
      </c>
      <c r="I36" s="8">
        <v>1</v>
      </c>
      <c r="J36" s="2" t="s">
        <v>12394</v>
      </c>
      <c r="K36" s="2"/>
      <c r="L36" s="2" t="s">
        <v>12209</v>
      </c>
      <c r="M36" s="2" t="s">
        <v>29</v>
      </c>
      <c r="N36" s="2" t="s">
        <v>5035</v>
      </c>
      <c r="O36" s="2"/>
      <c r="P36" s="2"/>
    </row>
    <row r="37" spans="1:16" ht="13.2" customHeight="1" x14ac:dyDescent="0.25">
      <c r="A37" s="8" t="s">
        <v>10285</v>
      </c>
      <c r="B37" s="2" t="s">
        <v>12395</v>
      </c>
      <c r="C37" s="2"/>
      <c r="D37" s="2" t="s">
        <v>12343</v>
      </c>
      <c r="E37" s="2" t="s">
        <v>12344</v>
      </c>
      <c r="F37" s="2" t="s">
        <v>12345</v>
      </c>
      <c r="G37" s="2" t="s">
        <v>12346</v>
      </c>
      <c r="H37" s="2" t="s">
        <v>12347</v>
      </c>
      <c r="I37" s="8">
        <v>1</v>
      </c>
      <c r="J37" s="2" t="s">
        <v>12348</v>
      </c>
      <c r="K37" s="2"/>
      <c r="L37" s="2" t="s">
        <v>12195</v>
      </c>
      <c r="M37" s="2" t="s">
        <v>29</v>
      </c>
      <c r="N37" s="2" t="s">
        <v>3936</v>
      </c>
      <c r="O37" s="2"/>
      <c r="P37" s="2"/>
    </row>
    <row r="38" spans="1:16" ht="13.2" customHeight="1" x14ac:dyDescent="0.25">
      <c r="A38" s="8" t="s">
        <v>10294</v>
      </c>
      <c r="B38" s="2" t="s">
        <v>12396</v>
      </c>
      <c r="C38" s="2"/>
      <c r="D38" s="2" t="s">
        <v>12346</v>
      </c>
      <c r="E38" s="2" t="s">
        <v>12347</v>
      </c>
      <c r="F38" s="2" t="s">
        <v>12350</v>
      </c>
      <c r="G38" s="2" t="s">
        <v>12351</v>
      </c>
      <c r="H38" s="2" t="s">
        <v>12352</v>
      </c>
      <c r="I38" s="8">
        <v>1</v>
      </c>
      <c r="J38" s="2" t="s">
        <v>12397</v>
      </c>
      <c r="K38" s="2"/>
      <c r="L38" s="2" t="s">
        <v>12195</v>
      </c>
      <c r="M38" s="2" t="s">
        <v>29</v>
      </c>
      <c r="N38" s="2" t="s">
        <v>3936</v>
      </c>
      <c r="O38" s="2"/>
      <c r="P38" s="2"/>
    </row>
    <row r="39" spans="1:16" ht="13.2" customHeight="1" x14ac:dyDescent="0.25">
      <c r="A39" s="8" t="s">
        <v>10302</v>
      </c>
      <c r="B39" s="2" t="s">
        <v>12398</v>
      </c>
      <c r="C39" s="2"/>
      <c r="D39" s="2" t="s">
        <v>12351</v>
      </c>
      <c r="E39" s="2" t="s">
        <v>12352</v>
      </c>
      <c r="F39" s="2" t="s">
        <v>12355</v>
      </c>
      <c r="G39" s="2" t="s">
        <v>12356</v>
      </c>
      <c r="H39" s="2" t="s">
        <v>12343</v>
      </c>
      <c r="I39" s="8">
        <v>1</v>
      </c>
      <c r="J39" s="2" t="s">
        <v>12357</v>
      </c>
      <c r="K39" s="2"/>
      <c r="L39" s="2" t="s">
        <v>12209</v>
      </c>
      <c r="M39" s="2" t="s">
        <v>29</v>
      </c>
      <c r="N39" s="2" t="s">
        <v>3900</v>
      </c>
      <c r="O39" s="2"/>
      <c r="P39" s="2"/>
    </row>
    <row r="40" spans="1:16" ht="13.2" customHeight="1" x14ac:dyDescent="0.25">
      <c r="A40" s="8" t="s">
        <v>10309</v>
      </c>
      <c r="B40" s="2" t="s">
        <v>12399</v>
      </c>
      <c r="C40" s="2"/>
      <c r="D40" s="2" t="s">
        <v>12356</v>
      </c>
      <c r="E40" s="2" t="s">
        <v>12343</v>
      </c>
      <c r="F40" s="2" t="s">
        <v>12344</v>
      </c>
      <c r="G40" s="2" t="s">
        <v>12345</v>
      </c>
      <c r="H40" s="2" t="s">
        <v>12346</v>
      </c>
      <c r="I40" s="8">
        <v>5</v>
      </c>
      <c r="J40" s="2" t="s">
        <v>12400</v>
      </c>
      <c r="K40" s="2"/>
      <c r="L40" s="2" t="s">
        <v>12195</v>
      </c>
      <c r="M40" s="2" t="s">
        <v>29</v>
      </c>
      <c r="N40" s="2" t="s">
        <v>1669</v>
      </c>
      <c r="O40" s="2"/>
      <c r="P40" s="2"/>
    </row>
    <row r="41" spans="1:16" ht="13.2" customHeight="1" x14ac:dyDescent="0.25">
      <c r="A41" s="8" t="s">
        <v>10316</v>
      </c>
      <c r="B41" s="2" t="s">
        <v>12401</v>
      </c>
      <c r="C41" s="2"/>
      <c r="D41" s="2" t="s">
        <v>12402</v>
      </c>
      <c r="E41" s="2" t="s">
        <v>2721</v>
      </c>
      <c r="F41" s="2" t="s">
        <v>12330</v>
      </c>
      <c r="G41" s="2" t="s">
        <v>12403</v>
      </c>
      <c r="H41" s="2" t="s">
        <v>6241</v>
      </c>
      <c r="I41" s="8">
        <v>1</v>
      </c>
      <c r="J41" s="2" t="s">
        <v>12404</v>
      </c>
      <c r="K41" s="2"/>
      <c r="L41" s="2" t="s">
        <v>12209</v>
      </c>
      <c r="M41" s="2" t="s">
        <v>29</v>
      </c>
      <c r="N41" s="2" t="s">
        <v>3887</v>
      </c>
      <c r="O41" s="2"/>
      <c r="P41" s="2"/>
    </row>
    <row r="42" spans="1:16" ht="13.2" customHeight="1" x14ac:dyDescent="0.25">
      <c r="A42" s="8" t="s">
        <v>10323</v>
      </c>
      <c r="B42" s="2" t="s">
        <v>12267</v>
      </c>
      <c r="C42" s="2"/>
      <c r="D42" s="2" t="s">
        <v>12350</v>
      </c>
      <c r="E42" s="2" t="s">
        <v>12351</v>
      </c>
      <c r="F42" s="2" t="s">
        <v>12352</v>
      </c>
      <c r="G42" s="2" t="s">
        <v>12355</v>
      </c>
      <c r="H42" s="2" t="s">
        <v>12356</v>
      </c>
      <c r="I42" s="8">
        <v>1</v>
      </c>
      <c r="J42" s="2" t="s">
        <v>12405</v>
      </c>
      <c r="K42" s="2"/>
      <c r="L42" s="2" t="s">
        <v>12195</v>
      </c>
      <c r="M42" s="2" t="s">
        <v>29</v>
      </c>
      <c r="N42" s="2" t="s">
        <v>3936</v>
      </c>
      <c r="O42" s="2"/>
      <c r="P42" s="2"/>
    </row>
    <row r="43" spans="1:16" ht="13.2" customHeight="1" x14ac:dyDescent="0.25">
      <c r="A43" s="8" t="s">
        <v>10327</v>
      </c>
      <c r="B43" s="2" t="s">
        <v>12406</v>
      </c>
      <c r="C43" s="2"/>
      <c r="D43" s="2" t="s">
        <v>12355</v>
      </c>
      <c r="E43" s="2" t="s">
        <v>12356</v>
      </c>
      <c r="F43" s="2" t="s">
        <v>12343</v>
      </c>
      <c r="G43" s="2" t="s">
        <v>12344</v>
      </c>
      <c r="H43" s="2" t="s">
        <v>12345</v>
      </c>
      <c r="I43" s="8">
        <v>1</v>
      </c>
      <c r="J43" s="2" t="s">
        <v>12407</v>
      </c>
      <c r="K43" s="2"/>
      <c r="L43" s="2" t="s">
        <v>12209</v>
      </c>
      <c r="M43" s="2" t="s">
        <v>29</v>
      </c>
      <c r="N43" s="2" t="s">
        <v>3900</v>
      </c>
      <c r="O43" s="2"/>
      <c r="P43" s="2"/>
    </row>
    <row r="44" spans="1:16" ht="13.2" customHeight="1" x14ac:dyDescent="0.25">
      <c r="A44" s="8" t="s">
        <v>10333</v>
      </c>
      <c r="B44" s="2" t="s">
        <v>12408</v>
      </c>
      <c r="C44" s="2"/>
      <c r="D44" s="2" t="s">
        <v>12344</v>
      </c>
      <c r="E44" s="2" t="s">
        <v>12345</v>
      </c>
      <c r="F44" s="2" t="s">
        <v>12346</v>
      </c>
      <c r="G44" s="2" t="s">
        <v>12347</v>
      </c>
      <c r="H44" s="2" t="s">
        <v>12350</v>
      </c>
      <c r="I44" s="8">
        <v>1</v>
      </c>
      <c r="J44" s="2" t="s">
        <v>12409</v>
      </c>
      <c r="K44" s="2"/>
      <c r="L44" s="2" t="s">
        <v>12209</v>
      </c>
      <c r="M44" s="2" t="s">
        <v>29</v>
      </c>
      <c r="N44" s="2" t="s">
        <v>3887</v>
      </c>
      <c r="O44" s="2"/>
      <c r="P44" s="2"/>
    </row>
    <row r="45" spans="1:16" ht="13.2" customHeight="1" x14ac:dyDescent="0.25">
      <c r="A45" s="8" t="s">
        <v>10340</v>
      </c>
      <c r="B45" s="2" t="s">
        <v>12410</v>
      </c>
      <c r="C45" s="2"/>
      <c r="D45" s="2" t="s">
        <v>12347</v>
      </c>
      <c r="E45" s="2" t="s">
        <v>12350</v>
      </c>
      <c r="F45" s="2" t="s">
        <v>12351</v>
      </c>
      <c r="G45" s="2" t="s">
        <v>12352</v>
      </c>
      <c r="H45" s="2" t="s">
        <v>12355</v>
      </c>
      <c r="I45" s="8">
        <v>1</v>
      </c>
      <c r="J45" s="2" t="s">
        <v>12411</v>
      </c>
      <c r="K45" s="2"/>
      <c r="L45" s="2" t="s">
        <v>12209</v>
      </c>
      <c r="M45" s="2" t="s">
        <v>29</v>
      </c>
      <c r="N45" s="2" t="s">
        <v>3900</v>
      </c>
      <c r="O45" s="2"/>
      <c r="P45" s="2"/>
    </row>
    <row r="46" spans="1:16" ht="13.2" customHeight="1" x14ac:dyDescent="0.25">
      <c r="A46" s="8" t="s">
        <v>10354</v>
      </c>
      <c r="B46" s="2" t="s">
        <v>12412</v>
      </c>
      <c r="C46" s="2"/>
      <c r="D46" s="2" t="s">
        <v>12352</v>
      </c>
      <c r="E46" s="2" t="s">
        <v>12355</v>
      </c>
      <c r="F46" s="2" t="s">
        <v>12356</v>
      </c>
      <c r="G46" s="2" t="s">
        <v>12343</v>
      </c>
      <c r="H46" s="2" t="s">
        <v>12344</v>
      </c>
      <c r="I46" s="8">
        <v>1</v>
      </c>
      <c r="J46" s="2" t="s">
        <v>12413</v>
      </c>
      <c r="K46" s="2"/>
      <c r="L46" s="2" t="s">
        <v>12209</v>
      </c>
      <c r="M46" s="2" t="s">
        <v>29</v>
      </c>
      <c r="N46" s="2" t="s">
        <v>12414</v>
      </c>
      <c r="O46" s="2"/>
      <c r="P46" s="2"/>
    </row>
    <row r="47" spans="1:16" ht="13.2" customHeight="1" x14ac:dyDescent="0.25">
      <c r="A47" s="8" t="s">
        <v>10363</v>
      </c>
      <c r="B47" s="2" t="s">
        <v>12415</v>
      </c>
      <c r="C47" s="2"/>
      <c r="D47" s="2" t="s">
        <v>12343</v>
      </c>
      <c r="E47" s="2" t="s">
        <v>12344</v>
      </c>
      <c r="F47" s="2" t="s">
        <v>12345</v>
      </c>
      <c r="G47" s="2" t="s">
        <v>12346</v>
      </c>
      <c r="H47" s="2" t="s">
        <v>12347</v>
      </c>
      <c r="I47" s="8">
        <v>1</v>
      </c>
      <c r="J47" s="2" t="s">
        <v>12416</v>
      </c>
      <c r="K47" s="2"/>
      <c r="L47" s="2" t="s">
        <v>12209</v>
      </c>
      <c r="M47" s="2" t="s">
        <v>29</v>
      </c>
      <c r="N47" s="2" t="s">
        <v>2651</v>
      </c>
      <c r="O47" s="2"/>
      <c r="P47" s="2"/>
    </row>
    <row r="48" spans="1:16" ht="13.2" customHeight="1" x14ac:dyDescent="0.25">
      <c r="A48" s="8" t="s">
        <v>10368</v>
      </c>
      <c r="B48" s="2" t="s">
        <v>12417</v>
      </c>
      <c r="C48" s="2"/>
      <c r="D48" s="2" t="s">
        <v>12346</v>
      </c>
      <c r="E48" s="2" t="s">
        <v>12347</v>
      </c>
      <c r="F48" s="2" t="s">
        <v>12350</v>
      </c>
      <c r="G48" s="2" t="s">
        <v>12351</v>
      </c>
      <c r="H48" s="2" t="s">
        <v>12352</v>
      </c>
      <c r="I48" s="8">
        <v>1</v>
      </c>
      <c r="J48" s="2" t="s">
        <v>12418</v>
      </c>
      <c r="K48" s="2"/>
      <c r="L48" s="2" t="s">
        <v>12209</v>
      </c>
      <c r="M48" s="2" t="s">
        <v>29</v>
      </c>
      <c r="N48" s="2" t="s">
        <v>3887</v>
      </c>
      <c r="O48" s="2"/>
      <c r="P48" s="2"/>
    </row>
    <row r="49" spans="1:14" ht="13.2" customHeight="1" x14ac:dyDescent="0.25">
      <c r="A49">
        <v>48</v>
      </c>
      <c r="B49" t="s">
        <v>12419</v>
      </c>
      <c r="D49" t="s">
        <v>7405</v>
      </c>
      <c r="E49" t="s">
        <v>7493</v>
      </c>
      <c r="F49" t="s">
        <v>12279</v>
      </c>
      <c r="G49" t="s">
        <v>12280</v>
      </c>
      <c r="H49" t="s">
        <v>12420</v>
      </c>
      <c r="I49" t="s">
        <v>123</v>
      </c>
      <c r="J49" t="s">
        <v>12421</v>
      </c>
      <c r="L49" t="s">
        <v>1645</v>
      </c>
      <c r="M49" t="s">
        <v>29</v>
      </c>
      <c r="N49" t="s">
        <v>3642</v>
      </c>
    </row>
    <row r="50" spans="1:14" ht="13.2" customHeight="1" x14ac:dyDescent="0.25">
      <c r="A50">
        <v>49</v>
      </c>
      <c r="B50" t="s">
        <v>12422</v>
      </c>
      <c r="D50" t="s">
        <v>12423</v>
      </c>
      <c r="E50" t="s">
        <v>12424</v>
      </c>
      <c r="F50" t="s">
        <v>12425</v>
      </c>
      <c r="G50" t="s">
        <v>12426</v>
      </c>
      <c r="H50" t="s">
        <v>12427</v>
      </c>
      <c r="I50" t="s">
        <v>90</v>
      </c>
      <c r="J50" t="s">
        <v>12428</v>
      </c>
      <c r="L50" t="s">
        <v>1645</v>
      </c>
      <c r="M50" t="s">
        <v>29</v>
      </c>
      <c r="N50" t="s">
        <v>2522</v>
      </c>
    </row>
    <row r="51" spans="1:14" ht="13.2" customHeight="1" x14ac:dyDescent="0.25"/>
    <row r="52" spans="1:14" ht="13.2" customHeight="1" x14ac:dyDescent="0.25"/>
  </sheetData>
  <mergeCells count="1">
    <mergeCell ref="A1:F1"/>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Q104"/>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8" t="s">
        <v>84</v>
      </c>
      <c r="B3" s="2" t="s">
        <v>12429</v>
      </c>
      <c r="C3" s="2"/>
      <c r="D3" s="2" t="s">
        <v>12430</v>
      </c>
      <c r="E3" s="2" t="s">
        <v>12431</v>
      </c>
      <c r="F3" s="2" t="s">
        <v>12432</v>
      </c>
      <c r="G3" s="2" t="s">
        <v>12433</v>
      </c>
      <c r="H3" s="2" t="s">
        <v>12434</v>
      </c>
      <c r="I3" s="8">
        <v>2</v>
      </c>
      <c r="J3" s="2" t="s">
        <v>12435</v>
      </c>
      <c r="K3" s="2"/>
      <c r="L3" s="2" t="s">
        <v>12436</v>
      </c>
      <c r="M3" s="2" t="s">
        <v>29</v>
      </c>
      <c r="N3" s="2" t="s">
        <v>8086</v>
      </c>
      <c r="O3" s="2"/>
      <c r="P3" s="2"/>
    </row>
    <row r="4" spans="1:16" ht="13.2" customHeight="1" x14ac:dyDescent="0.25">
      <c r="A4" s="8" t="s">
        <v>96</v>
      </c>
      <c r="B4" s="2" t="s">
        <v>12437</v>
      </c>
      <c r="C4" s="2"/>
      <c r="D4" s="2" t="s">
        <v>12438</v>
      </c>
      <c r="E4" s="2" t="s">
        <v>12439</v>
      </c>
      <c r="F4" s="2" t="s">
        <v>12440</v>
      </c>
      <c r="G4" s="2" t="s">
        <v>12441</v>
      </c>
      <c r="H4" s="2" t="s">
        <v>12442</v>
      </c>
      <c r="I4" s="8">
        <v>1</v>
      </c>
      <c r="J4" s="2" t="s">
        <v>12443</v>
      </c>
      <c r="K4" s="2"/>
      <c r="L4" s="2" t="s">
        <v>12436</v>
      </c>
      <c r="M4" s="2" t="s">
        <v>29</v>
      </c>
      <c r="N4" s="2" t="s">
        <v>11443</v>
      </c>
      <c r="O4" s="2"/>
      <c r="P4" s="2"/>
    </row>
    <row r="5" spans="1:16" ht="13.2" customHeight="1" x14ac:dyDescent="0.25">
      <c r="A5" s="8" t="s">
        <v>90</v>
      </c>
      <c r="B5" s="2" t="s">
        <v>12444</v>
      </c>
      <c r="C5" s="2"/>
      <c r="D5" s="2" t="s">
        <v>12445</v>
      </c>
      <c r="E5" s="2" t="s">
        <v>12438</v>
      </c>
      <c r="F5" s="2" t="s">
        <v>12446</v>
      </c>
      <c r="G5" s="2" t="s">
        <v>12442</v>
      </c>
      <c r="H5" s="2" t="s">
        <v>12447</v>
      </c>
      <c r="I5" s="8">
        <v>2</v>
      </c>
      <c r="J5" s="2" t="s">
        <v>12448</v>
      </c>
      <c r="K5" s="2"/>
      <c r="L5" s="2" t="s">
        <v>12436</v>
      </c>
      <c r="M5" s="2" t="s">
        <v>29</v>
      </c>
      <c r="N5" s="2" t="s">
        <v>1697</v>
      </c>
      <c r="O5" s="2"/>
      <c r="P5" s="2"/>
    </row>
    <row r="6" spans="1:16" ht="13.2" customHeight="1" x14ac:dyDescent="0.25">
      <c r="A6" s="8" t="s">
        <v>113</v>
      </c>
      <c r="B6" s="2" t="s">
        <v>12449</v>
      </c>
      <c r="C6" s="2"/>
      <c r="D6" s="2" t="s">
        <v>12450</v>
      </c>
      <c r="E6" s="2" t="s">
        <v>12451</v>
      </c>
      <c r="F6" s="2" t="s">
        <v>12452</v>
      </c>
      <c r="G6" s="2" t="s">
        <v>12453</v>
      </c>
      <c r="H6" s="2" t="s">
        <v>12454</v>
      </c>
      <c r="I6" s="8">
        <v>1</v>
      </c>
      <c r="J6" s="2" t="s">
        <v>12455</v>
      </c>
      <c r="K6" s="2"/>
      <c r="L6" s="2" t="s">
        <v>12436</v>
      </c>
      <c r="M6" s="2" t="s">
        <v>29</v>
      </c>
      <c r="N6" s="2" t="s">
        <v>8154</v>
      </c>
      <c r="O6" s="2"/>
      <c r="P6" s="2"/>
    </row>
    <row r="7" spans="1:16" ht="13.2" customHeight="1" x14ac:dyDescent="0.25">
      <c r="A7" s="8" t="s">
        <v>123</v>
      </c>
      <c r="B7" s="2" t="s">
        <v>12456</v>
      </c>
      <c r="C7" s="2"/>
      <c r="D7" s="2" t="s">
        <v>12457</v>
      </c>
      <c r="E7" s="2" t="s">
        <v>12458</v>
      </c>
      <c r="F7" s="2" t="s">
        <v>12459</v>
      </c>
      <c r="G7" s="2" t="s">
        <v>12460</v>
      </c>
      <c r="H7" s="2" t="s">
        <v>12461</v>
      </c>
      <c r="I7" s="8">
        <v>2</v>
      </c>
      <c r="J7" s="2" t="s">
        <v>12462</v>
      </c>
      <c r="K7" s="2"/>
      <c r="L7" s="2" t="s">
        <v>12436</v>
      </c>
      <c r="M7" s="2" t="s">
        <v>29</v>
      </c>
      <c r="N7" s="2" t="s">
        <v>6478</v>
      </c>
      <c r="O7" s="2"/>
      <c r="P7" s="2"/>
    </row>
    <row r="8" spans="1:16" ht="13.2" customHeight="1" x14ac:dyDescent="0.25">
      <c r="A8" s="8" t="s">
        <v>132</v>
      </c>
      <c r="B8" s="2" t="s">
        <v>12463</v>
      </c>
      <c r="C8" s="2"/>
      <c r="D8" s="2" t="s">
        <v>12464</v>
      </c>
      <c r="E8" s="2" t="s">
        <v>12465</v>
      </c>
      <c r="F8" s="2" t="s">
        <v>12466</v>
      </c>
      <c r="G8" s="2" t="s">
        <v>12467</v>
      </c>
      <c r="H8" s="2" t="s">
        <v>12468</v>
      </c>
      <c r="I8" s="8">
        <v>4</v>
      </c>
      <c r="J8" s="2" t="s">
        <v>12469</v>
      </c>
      <c r="K8" s="2"/>
      <c r="L8" s="2" t="s">
        <v>12436</v>
      </c>
      <c r="M8" s="2" t="s">
        <v>29</v>
      </c>
      <c r="N8" s="2" t="s">
        <v>12470</v>
      </c>
      <c r="O8" s="2"/>
      <c r="P8" s="2"/>
    </row>
    <row r="9" spans="1:16" ht="13.2" customHeight="1" x14ac:dyDescent="0.25">
      <c r="A9" s="8" t="s">
        <v>10084</v>
      </c>
      <c r="B9" s="2" t="s">
        <v>12471</v>
      </c>
      <c r="C9" s="2"/>
      <c r="D9" s="2" t="s">
        <v>835</v>
      </c>
      <c r="E9" s="2" t="s">
        <v>12472</v>
      </c>
      <c r="F9" s="2" t="s">
        <v>12473</v>
      </c>
      <c r="G9" s="2" t="s">
        <v>12474</v>
      </c>
      <c r="H9" s="2" t="s">
        <v>12475</v>
      </c>
      <c r="I9" s="8">
        <v>3</v>
      </c>
      <c r="J9" s="2" t="s">
        <v>12476</v>
      </c>
      <c r="K9" s="2"/>
      <c r="L9" s="2" t="s">
        <v>12436</v>
      </c>
      <c r="M9" s="2" t="s">
        <v>29</v>
      </c>
      <c r="N9" s="2" t="s">
        <v>12477</v>
      </c>
      <c r="O9" s="2"/>
      <c r="P9" s="2"/>
    </row>
    <row r="10" spans="1:16" ht="13.2" customHeight="1" x14ac:dyDescent="0.25">
      <c r="A10" s="8" t="s">
        <v>10093</v>
      </c>
      <c r="B10" s="2" t="s">
        <v>12478</v>
      </c>
      <c r="C10" s="2"/>
      <c r="D10" s="2" t="s">
        <v>12479</v>
      </c>
      <c r="E10" s="2" t="s">
        <v>12480</v>
      </c>
      <c r="F10" s="2" t="s">
        <v>12481</v>
      </c>
      <c r="G10" s="2" t="s">
        <v>12482</v>
      </c>
      <c r="H10" s="2" t="s">
        <v>12483</v>
      </c>
      <c r="I10" s="8">
        <v>4</v>
      </c>
      <c r="J10" s="2" t="s">
        <v>12484</v>
      </c>
      <c r="K10" s="2"/>
      <c r="L10" s="2" t="s">
        <v>12436</v>
      </c>
      <c r="M10" s="2" t="s">
        <v>29</v>
      </c>
      <c r="N10" s="2" t="s">
        <v>5278</v>
      </c>
      <c r="O10" s="2"/>
      <c r="P10" s="2"/>
    </row>
    <row r="11" spans="1:16" ht="13.2" customHeight="1" x14ac:dyDescent="0.25">
      <c r="A11" s="8" t="s">
        <v>10102</v>
      </c>
      <c r="B11" s="2" t="s">
        <v>12485</v>
      </c>
      <c r="C11" s="2"/>
      <c r="D11" s="2" t="s">
        <v>12486</v>
      </c>
      <c r="E11" s="2" t="s">
        <v>12487</v>
      </c>
      <c r="F11" s="2" t="s">
        <v>12488</v>
      </c>
      <c r="G11" s="2" t="s">
        <v>12489</v>
      </c>
      <c r="H11" s="2" t="s">
        <v>12490</v>
      </c>
      <c r="I11" s="8">
        <v>3</v>
      </c>
      <c r="J11" s="2" t="s">
        <v>12491</v>
      </c>
      <c r="K11" s="2"/>
      <c r="L11" s="2" t="s">
        <v>12436</v>
      </c>
      <c r="M11" s="2" t="s">
        <v>29</v>
      </c>
      <c r="N11" s="2" t="s">
        <v>723</v>
      </c>
      <c r="O11" s="2"/>
      <c r="P11" s="2"/>
    </row>
    <row r="12" spans="1:16" ht="13.2" customHeight="1" x14ac:dyDescent="0.25">
      <c r="A12" s="8" t="s">
        <v>10111</v>
      </c>
      <c r="B12" s="2" t="s">
        <v>12492</v>
      </c>
      <c r="C12" s="2"/>
      <c r="D12" s="2" t="s">
        <v>12493</v>
      </c>
      <c r="E12" s="2" t="s">
        <v>12494</v>
      </c>
      <c r="F12" s="2" t="s">
        <v>12495</v>
      </c>
      <c r="G12" s="2" t="s">
        <v>12496</v>
      </c>
      <c r="H12" s="2" t="s">
        <v>12497</v>
      </c>
      <c r="I12" s="8">
        <v>4</v>
      </c>
      <c r="J12" s="2" t="s">
        <v>12498</v>
      </c>
      <c r="K12" s="2"/>
      <c r="L12" s="2" t="s">
        <v>12436</v>
      </c>
      <c r="M12" s="2" t="s">
        <v>29</v>
      </c>
      <c r="N12" s="2" t="s">
        <v>7068</v>
      </c>
      <c r="O12" s="2"/>
      <c r="P12" s="2"/>
    </row>
    <row r="13" spans="1:16" ht="13.2" customHeight="1" x14ac:dyDescent="0.25">
      <c r="A13" s="8" t="s">
        <v>10119</v>
      </c>
      <c r="B13" s="2" t="s">
        <v>12499</v>
      </c>
      <c r="C13" s="2"/>
      <c r="D13" s="2" t="s">
        <v>12500</v>
      </c>
      <c r="E13" s="2" t="s">
        <v>12501</v>
      </c>
      <c r="F13" s="2" t="s">
        <v>12502</v>
      </c>
      <c r="G13" s="2" t="s">
        <v>12503</v>
      </c>
      <c r="H13" s="2" t="s">
        <v>781</v>
      </c>
      <c r="I13" s="8">
        <v>1</v>
      </c>
      <c r="J13" s="2" t="s">
        <v>12504</v>
      </c>
      <c r="K13" s="2"/>
      <c r="L13" s="2" t="s">
        <v>12436</v>
      </c>
      <c r="M13" s="2" t="s">
        <v>29</v>
      </c>
      <c r="N13" s="2" t="s">
        <v>1755</v>
      </c>
      <c r="O13" s="2"/>
      <c r="P13" s="2"/>
    </row>
    <row r="14" spans="1:16" ht="13.2" customHeight="1" x14ac:dyDescent="0.25">
      <c r="A14" s="8" t="s">
        <v>10123</v>
      </c>
      <c r="B14" s="2" t="s">
        <v>12505</v>
      </c>
      <c r="C14" s="2"/>
      <c r="D14" s="2" t="s">
        <v>12506</v>
      </c>
      <c r="E14" s="2" t="s">
        <v>12507</v>
      </c>
      <c r="F14" s="2" t="s">
        <v>12508</v>
      </c>
      <c r="G14" s="2" t="s">
        <v>12509</v>
      </c>
      <c r="H14" s="2" t="s">
        <v>12510</v>
      </c>
      <c r="I14" s="8">
        <v>4</v>
      </c>
      <c r="J14" s="2" t="s">
        <v>12511</v>
      </c>
      <c r="K14" s="2"/>
      <c r="L14" s="2" t="s">
        <v>12436</v>
      </c>
      <c r="M14" s="2" t="s">
        <v>29</v>
      </c>
      <c r="N14" s="2" t="s">
        <v>742</v>
      </c>
      <c r="O14" s="2"/>
      <c r="P14" s="2"/>
    </row>
    <row r="15" spans="1:16" ht="13.2" customHeight="1" x14ac:dyDescent="0.25">
      <c r="A15" s="8" t="s">
        <v>10137</v>
      </c>
      <c r="B15" s="2" t="s">
        <v>12512</v>
      </c>
      <c r="C15" s="2"/>
      <c r="D15" s="2" t="s">
        <v>4318</v>
      </c>
      <c r="E15" s="2" t="s">
        <v>12513</v>
      </c>
      <c r="F15" s="2" t="s">
        <v>12514</v>
      </c>
      <c r="G15" s="2" t="s">
        <v>12515</v>
      </c>
      <c r="H15" s="2" t="s">
        <v>12516</v>
      </c>
      <c r="I15" s="8">
        <v>5</v>
      </c>
      <c r="J15" s="2" t="s">
        <v>12517</v>
      </c>
      <c r="K15" s="2"/>
      <c r="L15" s="2" t="s">
        <v>12436</v>
      </c>
      <c r="M15" s="2" t="s">
        <v>29</v>
      </c>
      <c r="N15" s="2" t="s">
        <v>7097</v>
      </c>
      <c r="O15" s="2"/>
      <c r="P15" s="2"/>
    </row>
    <row r="16" spans="1:16" ht="13.2" customHeight="1" x14ac:dyDescent="0.25">
      <c r="A16" s="8" t="s">
        <v>10142</v>
      </c>
      <c r="B16" s="2" t="s">
        <v>12518</v>
      </c>
      <c r="C16" s="2"/>
      <c r="D16" s="2" t="s">
        <v>12519</v>
      </c>
      <c r="E16" s="2" t="s">
        <v>12520</v>
      </c>
      <c r="F16" s="2" t="s">
        <v>12521</v>
      </c>
      <c r="G16" s="2" t="s">
        <v>12522</v>
      </c>
      <c r="H16" s="2" t="s">
        <v>12523</v>
      </c>
      <c r="I16" s="8">
        <v>3</v>
      </c>
      <c r="J16" s="2" t="s">
        <v>12524</v>
      </c>
      <c r="K16" s="2"/>
      <c r="L16" s="2" t="s">
        <v>12436</v>
      </c>
      <c r="M16" s="2" t="s">
        <v>29</v>
      </c>
      <c r="N16" s="2" t="s">
        <v>757</v>
      </c>
      <c r="O16" s="2"/>
      <c r="P16" s="2"/>
    </row>
    <row r="17" spans="1:16" ht="13.2" customHeight="1" x14ac:dyDescent="0.25">
      <c r="A17" s="8" t="s">
        <v>10146</v>
      </c>
      <c r="B17" s="2" t="s">
        <v>12525</v>
      </c>
      <c r="C17" s="2"/>
      <c r="D17" s="2" t="s">
        <v>12526</v>
      </c>
      <c r="E17" s="2" t="s">
        <v>12527</v>
      </c>
      <c r="F17" s="2" t="s">
        <v>12528</v>
      </c>
      <c r="G17" s="2" t="s">
        <v>12529</v>
      </c>
      <c r="H17" s="2" t="s">
        <v>12530</v>
      </c>
      <c r="I17" s="8">
        <v>3</v>
      </c>
      <c r="J17" s="2" t="s">
        <v>12531</v>
      </c>
      <c r="K17" s="2"/>
      <c r="L17" s="2" t="s">
        <v>12436</v>
      </c>
      <c r="M17" s="2" t="s">
        <v>29</v>
      </c>
      <c r="N17" s="2" t="s">
        <v>12532</v>
      </c>
      <c r="O17" s="2"/>
      <c r="P17" s="2"/>
    </row>
    <row r="18" spans="1:16" ht="13.2" customHeight="1" x14ac:dyDescent="0.25">
      <c r="A18" s="8" t="s">
        <v>10154</v>
      </c>
      <c r="B18" s="2" t="s">
        <v>12533</v>
      </c>
      <c r="C18" s="2"/>
      <c r="D18" s="8" t="s">
        <v>12534</v>
      </c>
      <c r="E18" s="8" t="s">
        <v>12535</v>
      </c>
      <c r="F18" s="8" t="s">
        <v>12536</v>
      </c>
      <c r="G18" s="8" t="s">
        <v>12537</v>
      </c>
      <c r="H18" s="8" t="s">
        <v>12538</v>
      </c>
      <c r="I18" s="8">
        <v>2</v>
      </c>
      <c r="J18" s="2" t="s">
        <v>12539</v>
      </c>
      <c r="K18" s="2"/>
      <c r="L18" s="2" t="s">
        <v>12436</v>
      </c>
      <c r="M18" s="2" t="s">
        <v>29</v>
      </c>
      <c r="N18" s="2" t="s">
        <v>12286</v>
      </c>
      <c r="O18" s="2"/>
      <c r="P18" s="2"/>
    </row>
    <row r="19" spans="1:16" ht="13.2" customHeight="1" x14ac:dyDescent="0.25">
      <c r="A19" s="8" t="s">
        <v>10162</v>
      </c>
      <c r="B19" s="2" t="s">
        <v>12540</v>
      </c>
      <c r="C19" s="2"/>
      <c r="D19" s="2" t="s">
        <v>12541</v>
      </c>
      <c r="E19" s="2" t="s">
        <v>12542</v>
      </c>
      <c r="F19" s="2" t="s">
        <v>12543</v>
      </c>
      <c r="G19" s="2" t="s">
        <v>12544</v>
      </c>
      <c r="H19" s="2" t="s">
        <v>11528</v>
      </c>
      <c r="I19" s="8">
        <v>3</v>
      </c>
      <c r="J19" s="2" t="s">
        <v>12545</v>
      </c>
      <c r="K19" s="2"/>
      <c r="L19" s="2" t="s">
        <v>12436</v>
      </c>
      <c r="M19" s="2" t="s">
        <v>29</v>
      </c>
      <c r="N19" s="2" t="s">
        <v>775</v>
      </c>
      <c r="O19" s="2"/>
      <c r="P19" s="2"/>
    </row>
    <row r="20" spans="1:16" ht="13.2" customHeight="1" x14ac:dyDescent="0.25">
      <c r="A20" s="8" t="s">
        <v>10169</v>
      </c>
      <c r="B20" s="2" t="s">
        <v>12546</v>
      </c>
      <c r="C20" s="2"/>
      <c r="D20" s="2" t="s">
        <v>623</v>
      </c>
      <c r="E20" s="2" t="s">
        <v>12547</v>
      </c>
      <c r="F20" s="2" t="s">
        <v>1132</v>
      </c>
      <c r="G20" s="2" t="s">
        <v>674</v>
      </c>
      <c r="H20" s="2" t="s">
        <v>12548</v>
      </c>
      <c r="I20" s="8">
        <v>1</v>
      </c>
      <c r="J20" s="2" t="s">
        <v>12549</v>
      </c>
      <c r="K20" s="2"/>
      <c r="L20" s="2" t="s">
        <v>12436</v>
      </c>
      <c r="M20" s="2" t="s">
        <v>29</v>
      </c>
      <c r="N20" s="2" t="s">
        <v>7130</v>
      </c>
      <c r="O20" s="2"/>
      <c r="P20" s="2"/>
    </row>
    <row r="21" spans="1:16" ht="13.2" customHeight="1" x14ac:dyDescent="0.25">
      <c r="A21" s="8" t="s">
        <v>10177</v>
      </c>
      <c r="B21" s="2" t="s">
        <v>12550</v>
      </c>
      <c r="C21" s="2"/>
      <c r="D21" s="2" t="s">
        <v>8864</v>
      </c>
      <c r="E21" s="2" t="s">
        <v>12551</v>
      </c>
      <c r="F21" s="2" t="s">
        <v>8865</v>
      </c>
      <c r="G21" s="2" t="s">
        <v>12552</v>
      </c>
      <c r="H21" s="2" t="s">
        <v>12553</v>
      </c>
      <c r="I21" s="8">
        <v>2</v>
      </c>
      <c r="J21" s="2" t="s">
        <v>12554</v>
      </c>
      <c r="K21" s="2"/>
      <c r="L21" s="2" t="s">
        <v>12436</v>
      </c>
      <c r="M21" s="2" t="s">
        <v>29</v>
      </c>
      <c r="N21" s="2" t="s">
        <v>5359</v>
      </c>
      <c r="O21" s="2"/>
      <c r="P21" s="2"/>
    </row>
    <row r="22" spans="1:16" ht="13.2" customHeight="1" x14ac:dyDescent="0.25">
      <c r="A22" s="8" t="s">
        <v>10189</v>
      </c>
      <c r="B22" s="2" t="s">
        <v>12555</v>
      </c>
      <c r="C22" s="2"/>
      <c r="D22" s="8" t="s">
        <v>12534</v>
      </c>
      <c r="E22" s="8" t="s">
        <v>12556</v>
      </c>
      <c r="F22" s="8" t="s">
        <v>12501</v>
      </c>
      <c r="G22" s="8" t="s">
        <v>12557</v>
      </c>
      <c r="H22" s="8" t="s">
        <v>12558</v>
      </c>
      <c r="I22" s="8">
        <v>1</v>
      </c>
      <c r="J22" s="2" t="s">
        <v>12559</v>
      </c>
      <c r="K22" s="2"/>
      <c r="L22" s="2" t="s">
        <v>12436</v>
      </c>
      <c r="M22" s="2" t="s">
        <v>29</v>
      </c>
      <c r="N22" s="2" t="s">
        <v>2877</v>
      </c>
      <c r="O22" s="2"/>
      <c r="P22" s="2"/>
    </row>
    <row r="23" spans="1:16" ht="13.2" customHeight="1" x14ac:dyDescent="0.25">
      <c r="A23" s="8" t="s">
        <v>10197</v>
      </c>
      <c r="B23" s="2" t="s">
        <v>12560</v>
      </c>
      <c r="C23" s="2"/>
      <c r="D23" s="2" t="s">
        <v>12561</v>
      </c>
      <c r="E23" s="2" t="s">
        <v>12562</v>
      </c>
      <c r="F23" s="2" t="s">
        <v>12563</v>
      </c>
      <c r="G23" s="2" t="s">
        <v>12564</v>
      </c>
      <c r="H23" s="2" t="s">
        <v>12565</v>
      </c>
      <c r="I23" s="8">
        <v>3</v>
      </c>
      <c r="J23" s="2" t="s">
        <v>12566</v>
      </c>
      <c r="K23" s="2"/>
      <c r="L23" s="2" t="s">
        <v>12436</v>
      </c>
      <c r="M23" s="2" t="s">
        <v>29</v>
      </c>
      <c r="N23" s="2" t="s">
        <v>12567</v>
      </c>
      <c r="O23" s="2"/>
      <c r="P23" s="2"/>
    </row>
    <row r="24" spans="1:16" ht="13.2" customHeight="1" x14ac:dyDescent="0.25">
      <c r="A24" s="8" t="s">
        <v>10207</v>
      </c>
      <c r="B24" s="2" t="s">
        <v>12568</v>
      </c>
      <c r="C24" s="2"/>
      <c r="D24" s="2" t="s">
        <v>12569</v>
      </c>
      <c r="E24" s="2" t="s">
        <v>12570</v>
      </c>
      <c r="F24" s="2" t="s">
        <v>12571</v>
      </c>
      <c r="G24" s="2" t="s">
        <v>12572</v>
      </c>
      <c r="H24" s="2" t="s">
        <v>12573</v>
      </c>
      <c r="I24" s="8">
        <v>2</v>
      </c>
      <c r="J24" s="2" t="s">
        <v>12574</v>
      </c>
      <c r="K24" s="2"/>
      <c r="L24" s="2" t="s">
        <v>12436</v>
      </c>
      <c r="M24" s="2" t="s">
        <v>29</v>
      </c>
      <c r="N24" s="2" t="s">
        <v>12575</v>
      </c>
      <c r="O24" s="2"/>
      <c r="P24" s="2"/>
    </row>
    <row r="25" spans="1:16" ht="13.2" customHeight="1" x14ac:dyDescent="0.25">
      <c r="A25" s="8" t="s">
        <v>10214</v>
      </c>
      <c r="B25" s="2" t="s">
        <v>12576</v>
      </c>
      <c r="C25" s="2"/>
      <c r="D25" s="2" t="s">
        <v>6620</v>
      </c>
      <c r="E25" s="2" t="s">
        <v>12577</v>
      </c>
      <c r="F25" s="2" t="s">
        <v>12578</v>
      </c>
      <c r="G25" s="2" t="s">
        <v>12579</v>
      </c>
      <c r="H25" s="2" t="s">
        <v>4788</v>
      </c>
      <c r="I25" s="8">
        <v>1</v>
      </c>
      <c r="J25" s="2" t="s">
        <v>12580</v>
      </c>
      <c r="K25" s="2"/>
      <c r="L25" s="2" t="s">
        <v>12436</v>
      </c>
      <c r="M25" s="2" t="s">
        <v>29</v>
      </c>
      <c r="N25" s="2" t="s">
        <v>12581</v>
      </c>
      <c r="O25" s="2"/>
      <c r="P25" s="2"/>
    </row>
    <row r="26" spans="1:16" ht="13.2" customHeight="1" x14ac:dyDescent="0.25">
      <c r="A26" s="8" t="s">
        <v>10222</v>
      </c>
      <c r="B26" s="2" t="s">
        <v>12582</v>
      </c>
      <c r="C26" s="2"/>
      <c r="D26" s="2" t="s">
        <v>733</v>
      </c>
      <c r="E26" s="2" t="s">
        <v>12583</v>
      </c>
      <c r="F26" s="2" t="s">
        <v>159</v>
      </c>
      <c r="G26" s="2" t="s">
        <v>12584</v>
      </c>
      <c r="H26" s="2" t="s">
        <v>157</v>
      </c>
      <c r="I26" s="8">
        <v>5</v>
      </c>
      <c r="J26" s="2" t="s">
        <v>12585</v>
      </c>
      <c r="K26" s="2"/>
      <c r="L26" s="2" t="s">
        <v>12436</v>
      </c>
      <c r="M26" s="2" t="s">
        <v>29</v>
      </c>
      <c r="N26" s="2" t="s">
        <v>12586</v>
      </c>
      <c r="O26" s="2"/>
      <c r="P26" s="2"/>
    </row>
    <row r="27" spans="1:16" ht="13.2" customHeight="1" x14ac:dyDescent="0.25">
      <c r="A27" s="8" t="s">
        <v>10231</v>
      </c>
      <c r="B27" s="2" t="s">
        <v>12587</v>
      </c>
      <c r="C27" s="2"/>
      <c r="D27" s="2" t="s">
        <v>4785</v>
      </c>
      <c r="E27" s="2" t="s">
        <v>12588</v>
      </c>
      <c r="F27" s="2" t="s">
        <v>12589</v>
      </c>
      <c r="G27" s="2" t="s">
        <v>6620</v>
      </c>
      <c r="H27" s="2" t="s">
        <v>1715</v>
      </c>
      <c r="I27" s="8">
        <v>5</v>
      </c>
      <c r="J27" s="2" t="s">
        <v>12590</v>
      </c>
      <c r="K27" s="2"/>
      <c r="L27" s="2" t="s">
        <v>12436</v>
      </c>
      <c r="M27" s="2" t="s">
        <v>29</v>
      </c>
      <c r="N27" s="2" t="s">
        <v>837</v>
      </c>
      <c r="O27" s="2"/>
      <c r="P27" s="2"/>
    </row>
    <row r="28" spans="1:16" ht="13.2" customHeight="1" x14ac:dyDescent="0.25">
      <c r="A28" s="8" t="s">
        <v>10246</v>
      </c>
      <c r="B28" s="2" t="s">
        <v>12591</v>
      </c>
      <c r="C28" s="2"/>
      <c r="D28" s="2" t="s">
        <v>12592</v>
      </c>
      <c r="E28" s="2" t="s">
        <v>6242</v>
      </c>
      <c r="F28" s="2" t="s">
        <v>1215</v>
      </c>
      <c r="G28" s="2" t="s">
        <v>12593</v>
      </c>
      <c r="H28" s="2" t="s">
        <v>12594</v>
      </c>
      <c r="I28" s="8">
        <v>1</v>
      </c>
      <c r="J28" s="2" t="s">
        <v>12595</v>
      </c>
      <c r="K28" s="2"/>
      <c r="L28" s="2" t="s">
        <v>12436</v>
      </c>
      <c r="M28" s="2" t="s">
        <v>29</v>
      </c>
      <c r="N28" s="2" t="s">
        <v>5425</v>
      </c>
      <c r="O28" s="2"/>
      <c r="P28" s="2"/>
    </row>
    <row r="29" spans="1:16" ht="13.2" customHeight="1" x14ac:dyDescent="0.25">
      <c r="A29" s="8" t="s">
        <v>10250</v>
      </c>
      <c r="B29" s="2" t="s">
        <v>12596</v>
      </c>
      <c r="C29" s="2"/>
      <c r="D29" s="2" t="s">
        <v>12597</v>
      </c>
      <c r="E29" s="2" t="s">
        <v>12598</v>
      </c>
      <c r="F29" s="2" t="s">
        <v>12599</v>
      </c>
      <c r="G29" s="2" t="s">
        <v>12600</v>
      </c>
      <c r="H29" s="2" t="s">
        <v>781</v>
      </c>
      <c r="I29" s="8">
        <v>1</v>
      </c>
      <c r="J29" s="2" t="s">
        <v>12601</v>
      </c>
      <c r="K29" s="2"/>
      <c r="L29" s="2" t="s">
        <v>12436</v>
      </c>
      <c r="M29" s="2" t="s">
        <v>29</v>
      </c>
      <c r="N29" s="2" t="s">
        <v>12602</v>
      </c>
      <c r="O29" s="2"/>
      <c r="P29" s="2"/>
    </row>
    <row r="30" spans="1:16" ht="13.2" customHeight="1" x14ac:dyDescent="0.25">
      <c r="A30" s="8" t="s">
        <v>10257</v>
      </c>
      <c r="B30" s="2" t="s">
        <v>12603</v>
      </c>
      <c r="C30" s="2"/>
      <c r="D30" s="2" t="s">
        <v>5632</v>
      </c>
      <c r="E30" s="2" t="s">
        <v>6242</v>
      </c>
      <c r="F30" s="2" t="s">
        <v>10166</v>
      </c>
      <c r="G30" s="2" t="s">
        <v>4345</v>
      </c>
      <c r="H30" s="2" t="s">
        <v>12604</v>
      </c>
      <c r="I30" s="8">
        <v>2</v>
      </c>
      <c r="J30" s="2" t="s">
        <v>12605</v>
      </c>
      <c r="K30" s="2"/>
      <c r="L30" s="2" t="s">
        <v>12436</v>
      </c>
      <c r="M30" s="2" t="s">
        <v>29</v>
      </c>
      <c r="N30" s="2" t="s">
        <v>8556</v>
      </c>
      <c r="O30" s="2"/>
      <c r="P30" s="2"/>
    </row>
    <row r="31" spans="1:16" ht="13.2" customHeight="1" x14ac:dyDescent="0.25">
      <c r="A31" s="8" t="s">
        <v>10261</v>
      </c>
      <c r="B31" s="2" t="s">
        <v>12606</v>
      </c>
      <c r="C31" s="2"/>
      <c r="D31" s="2" t="s">
        <v>12607</v>
      </c>
      <c r="E31" s="2" t="s">
        <v>12608</v>
      </c>
      <c r="F31" s="2" t="s">
        <v>12609</v>
      </c>
      <c r="G31" s="2" t="s">
        <v>4535</v>
      </c>
      <c r="H31" s="2" t="s">
        <v>4345</v>
      </c>
      <c r="I31" s="8">
        <v>2</v>
      </c>
      <c r="J31" s="2" t="s">
        <v>12610</v>
      </c>
      <c r="K31" s="2"/>
      <c r="L31" s="2" t="s">
        <v>12436</v>
      </c>
      <c r="M31" s="2" t="s">
        <v>29</v>
      </c>
      <c r="N31" s="2" t="s">
        <v>12611</v>
      </c>
      <c r="O31" s="2"/>
      <c r="P31" s="2"/>
    </row>
    <row r="32" spans="1:16" ht="13.2" customHeight="1" x14ac:dyDescent="0.25">
      <c r="A32" s="8" t="s">
        <v>10920</v>
      </c>
      <c r="B32" s="2" t="s">
        <v>12612</v>
      </c>
      <c r="C32" s="2"/>
      <c r="D32" s="2" t="s">
        <v>8864</v>
      </c>
      <c r="E32" s="2" t="s">
        <v>12551</v>
      </c>
      <c r="F32" s="2" t="s">
        <v>8865</v>
      </c>
      <c r="G32" s="2" t="s">
        <v>12552</v>
      </c>
      <c r="H32" s="2" t="s">
        <v>12553</v>
      </c>
      <c r="I32" s="8">
        <v>2</v>
      </c>
      <c r="J32" s="2" t="s">
        <v>12613</v>
      </c>
      <c r="K32" s="2"/>
      <c r="L32" s="2" t="s">
        <v>12436</v>
      </c>
      <c r="M32" s="2" t="s">
        <v>29</v>
      </c>
      <c r="N32" s="2" t="s">
        <v>6660</v>
      </c>
      <c r="O32" s="2"/>
      <c r="P32" s="2"/>
    </row>
    <row r="33" spans="1:16" ht="13.2" customHeight="1" x14ac:dyDescent="0.25">
      <c r="A33" s="8" t="s">
        <v>10275</v>
      </c>
      <c r="B33" s="2" t="s">
        <v>12614</v>
      </c>
      <c r="C33" s="2"/>
      <c r="D33" s="2" t="s">
        <v>12615</v>
      </c>
      <c r="E33" s="2" t="s">
        <v>12616</v>
      </c>
      <c r="F33" s="2" t="s">
        <v>8308</v>
      </c>
      <c r="G33" s="2" t="s">
        <v>12617</v>
      </c>
      <c r="H33" s="2" t="s">
        <v>903</v>
      </c>
      <c r="I33" s="8">
        <v>4</v>
      </c>
      <c r="J33" s="2" t="s">
        <v>12618</v>
      </c>
      <c r="K33" s="2"/>
      <c r="L33" s="2" t="s">
        <v>12436</v>
      </c>
      <c r="M33" s="2" t="s">
        <v>29</v>
      </c>
      <c r="N33" s="2" t="s">
        <v>7231</v>
      </c>
      <c r="O33" s="2"/>
      <c r="P33" s="2"/>
    </row>
    <row r="34" spans="1:16" ht="13.2" customHeight="1" x14ac:dyDescent="0.25">
      <c r="A34" s="8" t="s">
        <v>10285</v>
      </c>
      <c r="B34" s="2" t="s">
        <v>12619</v>
      </c>
      <c r="C34" s="2"/>
      <c r="D34" s="2" t="s">
        <v>12501</v>
      </c>
      <c r="E34" s="2" t="s">
        <v>12620</v>
      </c>
      <c r="F34" s="2" t="s">
        <v>12621</v>
      </c>
      <c r="G34" s="2" t="s">
        <v>3421</v>
      </c>
      <c r="H34" s="2" t="s">
        <v>12534</v>
      </c>
      <c r="I34" s="8">
        <v>5</v>
      </c>
      <c r="J34" s="2" t="s">
        <v>12622</v>
      </c>
      <c r="K34" s="2"/>
      <c r="L34" s="2" t="s">
        <v>12436</v>
      </c>
      <c r="M34" s="2" t="s">
        <v>29</v>
      </c>
      <c r="N34" s="2" t="s">
        <v>7239</v>
      </c>
      <c r="O34" s="2"/>
      <c r="P34" s="2"/>
    </row>
    <row r="35" spans="1:16" ht="13.2" customHeight="1" x14ac:dyDescent="0.25">
      <c r="A35" s="8" t="s">
        <v>10302</v>
      </c>
      <c r="B35" s="2" t="s">
        <v>12623</v>
      </c>
      <c r="C35" s="2"/>
      <c r="D35" s="2" t="s">
        <v>12624</v>
      </c>
      <c r="E35" s="2" t="s">
        <v>12544</v>
      </c>
      <c r="F35" s="2" t="s">
        <v>12625</v>
      </c>
      <c r="G35" s="2" t="s">
        <v>12542</v>
      </c>
      <c r="H35" s="2" t="s">
        <v>12626</v>
      </c>
      <c r="I35" s="8">
        <v>3</v>
      </c>
      <c r="J35" s="2" t="s">
        <v>12627</v>
      </c>
      <c r="K35" s="2"/>
      <c r="L35" s="2" t="s">
        <v>12436</v>
      </c>
      <c r="M35" s="2" t="s">
        <v>29</v>
      </c>
      <c r="N35" s="2" t="s">
        <v>917</v>
      </c>
      <c r="O35" s="2"/>
      <c r="P35" s="2"/>
    </row>
    <row r="36" spans="1:16" ht="13.2" customHeight="1" x14ac:dyDescent="0.25">
      <c r="A36" s="8" t="s">
        <v>10309</v>
      </c>
      <c r="B36" s="2" t="s">
        <v>12628</v>
      </c>
      <c r="C36" s="2"/>
      <c r="D36" s="8" t="s">
        <v>12501</v>
      </c>
      <c r="E36" s="8" t="s">
        <v>12620</v>
      </c>
      <c r="F36" s="8" t="s">
        <v>12621</v>
      </c>
      <c r="G36" s="8" t="s">
        <v>12629</v>
      </c>
      <c r="H36" s="8" t="s">
        <v>12534</v>
      </c>
      <c r="I36" s="8">
        <v>4</v>
      </c>
      <c r="J36" s="2" t="s">
        <v>12630</v>
      </c>
      <c r="K36" s="2"/>
      <c r="L36" s="2" t="s">
        <v>12436</v>
      </c>
      <c r="M36" s="2" t="s">
        <v>29</v>
      </c>
      <c r="N36" s="2" t="s">
        <v>12631</v>
      </c>
      <c r="O36" s="2"/>
      <c r="P36" s="2"/>
    </row>
    <row r="37" spans="1:16" ht="13.2" customHeight="1" x14ac:dyDescent="0.25">
      <c r="A37" s="8" t="s">
        <v>10316</v>
      </c>
      <c r="B37" s="2" t="s">
        <v>12632</v>
      </c>
      <c r="C37" s="2"/>
      <c r="D37" s="2" t="s">
        <v>12633</v>
      </c>
      <c r="E37" s="2" t="s">
        <v>12634</v>
      </c>
      <c r="F37" s="2" t="s">
        <v>12635</v>
      </c>
      <c r="G37" s="2" t="s">
        <v>12636</v>
      </c>
      <c r="H37" s="2" t="s">
        <v>12637</v>
      </c>
      <c r="I37" s="8">
        <v>4</v>
      </c>
      <c r="J37" s="2" t="s">
        <v>12638</v>
      </c>
      <c r="K37" s="2"/>
      <c r="L37" s="2" t="s">
        <v>12436</v>
      </c>
      <c r="M37" s="2" t="s">
        <v>29</v>
      </c>
      <c r="N37" s="2" t="s">
        <v>11702</v>
      </c>
      <c r="O37" s="2"/>
      <c r="P37" s="2"/>
    </row>
    <row r="38" spans="1:16" ht="13.2" customHeight="1" x14ac:dyDescent="0.25">
      <c r="A38" s="8" t="s">
        <v>10323</v>
      </c>
      <c r="B38" s="2" t="s">
        <v>12639</v>
      </c>
      <c r="C38" s="2"/>
      <c r="D38" s="2" t="s">
        <v>12640</v>
      </c>
      <c r="E38" s="2" t="s">
        <v>12641</v>
      </c>
      <c r="F38" s="2" t="s">
        <v>12642</v>
      </c>
      <c r="G38" s="2" t="s">
        <v>12643</v>
      </c>
      <c r="H38" s="2" t="s">
        <v>12644</v>
      </c>
      <c r="I38" s="8">
        <v>4</v>
      </c>
      <c r="J38" s="2" t="s">
        <v>12645</v>
      </c>
      <c r="K38" s="2"/>
      <c r="L38" s="2" t="s">
        <v>12436</v>
      </c>
      <c r="M38" s="2" t="s">
        <v>29</v>
      </c>
      <c r="N38" s="2" t="s">
        <v>5508</v>
      </c>
      <c r="O38" s="2"/>
      <c r="P38" s="2"/>
    </row>
    <row r="39" spans="1:16" ht="13.2" customHeight="1" x14ac:dyDescent="0.25">
      <c r="A39" s="8" t="s">
        <v>10327</v>
      </c>
      <c r="B39" s="2" t="s">
        <v>12646</v>
      </c>
      <c r="C39" s="2"/>
      <c r="D39" s="2" t="s">
        <v>689</v>
      </c>
      <c r="E39" s="2" t="s">
        <v>12647</v>
      </c>
      <c r="F39" s="2" t="s">
        <v>12624</v>
      </c>
      <c r="G39" s="2" t="s">
        <v>12648</v>
      </c>
      <c r="H39" s="2" t="s">
        <v>12649</v>
      </c>
      <c r="I39" s="8">
        <v>1</v>
      </c>
      <c r="J39" s="2" t="s">
        <v>12650</v>
      </c>
      <c r="K39" s="2"/>
      <c r="L39" s="2" t="s">
        <v>12436</v>
      </c>
      <c r="M39" s="2" t="s">
        <v>29</v>
      </c>
      <c r="N39" s="2" t="s">
        <v>9566</v>
      </c>
      <c r="O39" s="2"/>
      <c r="P39" s="2"/>
    </row>
    <row r="40" spans="1:16" ht="13.2" customHeight="1" x14ac:dyDescent="0.25">
      <c r="A40" s="8" t="s">
        <v>10333</v>
      </c>
      <c r="B40" s="2" t="s">
        <v>12651</v>
      </c>
      <c r="C40" s="2"/>
      <c r="D40" s="2" t="s">
        <v>12652</v>
      </c>
      <c r="E40" s="2" t="s">
        <v>12653</v>
      </c>
      <c r="F40" s="2" t="s">
        <v>12654</v>
      </c>
      <c r="G40" s="2" t="s">
        <v>12655</v>
      </c>
      <c r="H40" s="2" t="s">
        <v>12656</v>
      </c>
      <c r="I40" s="8">
        <v>5</v>
      </c>
      <c r="J40" s="2" t="s">
        <v>12657</v>
      </c>
      <c r="K40" s="2"/>
      <c r="L40" s="2" t="s">
        <v>12436</v>
      </c>
      <c r="M40" s="2" t="s">
        <v>29</v>
      </c>
      <c r="N40" s="2" t="s">
        <v>11724</v>
      </c>
      <c r="O40" s="2"/>
      <c r="P40" s="2"/>
    </row>
    <row r="41" spans="1:16" ht="13.2" customHeight="1" x14ac:dyDescent="0.25">
      <c r="A41" s="8" t="s">
        <v>10340</v>
      </c>
      <c r="B41" s="2" t="s">
        <v>12658</v>
      </c>
      <c r="C41" s="2"/>
      <c r="D41" s="2" t="s">
        <v>12659</v>
      </c>
      <c r="E41" s="2" t="s">
        <v>12660</v>
      </c>
      <c r="F41" s="2" t="s">
        <v>1120</v>
      </c>
      <c r="G41" s="2" t="s">
        <v>12543</v>
      </c>
      <c r="H41" s="2" t="s">
        <v>12624</v>
      </c>
      <c r="I41" s="8">
        <v>3</v>
      </c>
      <c r="J41" s="2" t="s">
        <v>12661</v>
      </c>
      <c r="K41" s="2"/>
      <c r="L41" s="2" t="s">
        <v>12436</v>
      </c>
      <c r="M41" s="2" t="s">
        <v>29</v>
      </c>
      <c r="N41" s="2" t="s">
        <v>3048</v>
      </c>
      <c r="O41" s="2"/>
      <c r="P41" s="2"/>
    </row>
    <row r="42" spans="1:16" ht="13.2" customHeight="1" x14ac:dyDescent="0.25">
      <c r="A42" s="8" t="s">
        <v>10354</v>
      </c>
      <c r="B42" s="2" t="s">
        <v>12662</v>
      </c>
      <c r="C42" s="2"/>
      <c r="D42" s="2" t="s">
        <v>12663</v>
      </c>
      <c r="E42" s="2" t="s">
        <v>12664</v>
      </c>
      <c r="F42" s="2" t="s">
        <v>12665</v>
      </c>
      <c r="G42" s="2" t="s">
        <v>12666</v>
      </c>
      <c r="H42" s="2" t="s">
        <v>12667</v>
      </c>
      <c r="I42" s="8">
        <v>1</v>
      </c>
      <c r="J42" s="2" t="s">
        <v>12668</v>
      </c>
      <c r="K42" s="2"/>
      <c r="L42" s="2" t="s">
        <v>12436</v>
      </c>
      <c r="M42" s="2" t="s">
        <v>29</v>
      </c>
      <c r="N42" s="2" t="s">
        <v>12669</v>
      </c>
      <c r="O42" s="2"/>
      <c r="P42" s="2"/>
    </row>
    <row r="43" spans="1:16" ht="13.2" customHeight="1" x14ac:dyDescent="0.25">
      <c r="A43" s="8" t="s">
        <v>10363</v>
      </c>
      <c r="B43" s="2" t="s">
        <v>12670</v>
      </c>
      <c r="C43" s="2"/>
      <c r="D43" s="2" t="s">
        <v>12671</v>
      </c>
      <c r="E43" s="2" t="s">
        <v>12672</v>
      </c>
      <c r="F43" s="2" t="s">
        <v>12673</v>
      </c>
      <c r="G43" s="2" t="s">
        <v>12674</v>
      </c>
      <c r="H43" s="2" t="s">
        <v>12675</v>
      </c>
      <c r="I43" s="8">
        <v>4</v>
      </c>
      <c r="J43" s="2" t="s">
        <v>12676</v>
      </c>
      <c r="K43" s="2"/>
      <c r="L43" s="2" t="s">
        <v>12436</v>
      </c>
      <c r="M43" s="2" t="s">
        <v>29</v>
      </c>
      <c r="N43" s="2" t="s">
        <v>12677</v>
      </c>
      <c r="O43" s="2"/>
      <c r="P43" s="2"/>
    </row>
    <row r="44" spans="1:16" ht="13.2" customHeight="1" x14ac:dyDescent="0.25">
      <c r="A44" s="8" t="s">
        <v>10368</v>
      </c>
      <c r="B44" s="2" t="s">
        <v>12678</v>
      </c>
      <c r="C44" s="2"/>
      <c r="D44" s="2" t="s">
        <v>12679</v>
      </c>
      <c r="E44" s="2" t="s">
        <v>12589</v>
      </c>
      <c r="F44" s="2" t="s">
        <v>6218</v>
      </c>
      <c r="G44" s="2" t="s">
        <v>4785</v>
      </c>
      <c r="H44" s="2" t="s">
        <v>12680</v>
      </c>
      <c r="I44" s="8">
        <v>2</v>
      </c>
      <c r="J44" s="2" t="s">
        <v>12681</v>
      </c>
      <c r="K44" s="2"/>
      <c r="L44" s="2" t="s">
        <v>12436</v>
      </c>
      <c r="M44" s="2" t="s">
        <v>29</v>
      </c>
      <c r="N44" s="2" t="s">
        <v>12682</v>
      </c>
      <c r="O44" s="2"/>
      <c r="P44" s="2"/>
    </row>
    <row r="45" spans="1:16" ht="13.2" customHeight="1" x14ac:dyDescent="0.25">
      <c r="A45" s="8" t="s">
        <v>10373</v>
      </c>
      <c r="B45" s="2" t="s">
        <v>12683</v>
      </c>
      <c r="C45" s="2"/>
      <c r="D45" s="2" t="s">
        <v>12684</v>
      </c>
      <c r="E45" s="2" t="s">
        <v>12685</v>
      </c>
      <c r="F45" s="2" t="s">
        <v>12686</v>
      </c>
      <c r="G45" s="2" t="s">
        <v>12687</v>
      </c>
      <c r="H45" s="2" t="s">
        <v>12688</v>
      </c>
      <c r="I45" s="8">
        <v>1</v>
      </c>
      <c r="J45" s="2" t="s">
        <v>12689</v>
      </c>
      <c r="K45" s="2"/>
      <c r="L45" s="2" t="s">
        <v>12436</v>
      </c>
      <c r="M45" s="2" t="s">
        <v>29</v>
      </c>
      <c r="N45" s="2" t="s">
        <v>5551</v>
      </c>
      <c r="O45" s="2"/>
      <c r="P45" s="2"/>
    </row>
    <row r="46" spans="1:16" ht="13.2" customHeight="1" x14ac:dyDescent="0.25">
      <c r="A46" s="8" t="s">
        <v>10380</v>
      </c>
      <c r="B46" s="2" t="s">
        <v>12690</v>
      </c>
      <c r="C46" s="2"/>
      <c r="D46" s="2" t="s">
        <v>12691</v>
      </c>
      <c r="E46" s="2" t="s">
        <v>12692</v>
      </c>
      <c r="F46" s="2" t="s">
        <v>12693</v>
      </c>
      <c r="G46" s="2" t="s">
        <v>12694</v>
      </c>
      <c r="H46" s="2" t="s">
        <v>12695</v>
      </c>
      <c r="I46" s="8">
        <v>3</v>
      </c>
      <c r="J46" s="2" t="s">
        <v>12696</v>
      </c>
      <c r="K46" s="2"/>
      <c r="L46" s="2" t="s">
        <v>12436</v>
      </c>
      <c r="M46" s="2" t="s">
        <v>29</v>
      </c>
      <c r="N46" s="2" t="s">
        <v>12697</v>
      </c>
      <c r="O46" s="2"/>
      <c r="P46" s="2"/>
    </row>
    <row r="47" spans="1:16" ht="13.2" customHeight="1" x14ac:dyDescent="0.25">
      <c r="A47" s="8" t="s">
        <v>8862</v>
      </c>
      <c r="B47" s="2" t="s">
        <v>12698</v>
      </c>
      <c r="C47" s="2"/>
      <c r="D47" s="2" t="s">
        <v>12699</v>
      </c>
      <c r="E47" s="2" t="s">
        <v>12700</v>
      </c>
      <c r="F47" s="2" t="s">
        <v>12701</v>
      </c>
      <c r="G47" s="2" t="s">
        <v>12702</v>
      </c>
      <c r="H47" s="2" t="s">
        <v>12703</v>
      </c>
      <c r="I47" s="8">
        <v>3</v>
      </c>
      <c r="J47" s="2" t="s">
        <v>12704</v>
      </c>
      <c r="K47" s="2"/>
      <c r="L47" s="2" t="s">
        <v>12436</v>
      </c>
      <c r="M47" s="2" t="s">
        <v>29</v>
      </c>
      <c r="N47" s="2" t="s">
        <v>988</v>
      </c>
      <c r="O47" s="2"/>
      <c r="P47" s="2"/>
    </row>
    <row r="48" spans="1:16" ht="13.2" customHeight="1" x14ac:dyDescent="0.25">
      <c r="A48" s="8" t="s">
        <v>10397</v>
      </c>
      <c r="B48" s="2" t="s">
        <v>12705</v>
      </c>
      <c r="C48" s="2"/>
      <c r="D48" s="2" t="s">
        <v>12534</v>
      </c>
      <c r="E48" s="2" t="s">
        <v>12706</v>
      </c>
      <c r="F48" s="2" t="s">
        <v>12707</v>
      </c>
      <c r="G48" s="2" t="s">
        <v>12501</v>
      </c>
      <c r="H48" s="2" t="s">
        <v>12708</v>
      </c>
      <c r="I48" s="8">
        <v>2</v>
      </c>
      <c r="J48" s="2" t="s">
        <v>12709</v>
      </c>
      <c r="K48" s="2"/>
      <c r="L48" s="2" t="s">
        <v>12436</v>
      </c>
      <c r="M48" s="2" t="s">
        <v>29</v>
      </c>
      <c r="N48" s="2" t="s">
        <v>5569</v>
      </c>
      <c r="O48" s="2"/>
      <c r="P48" s="2"/>
    </row>
    <row r="49" spans="1:16" ht="13.2" customHeight="1" x14ac:dyDescent="0.25">
      <c r="A49" s="8" t="s">
        <v>10405</v>
      </c>
      <c r="B49" s="2" t="s">
        <v>12710</v>
      </c>
      <c r="C49" s="2"/>
      <c r="D49" s="2" t="s">
        <v>12711</v>
      </c>
      <c r="E49" s="2" t="s">
        <v>12712</v>
      </c>
      <c r="F49" s="2" t="s">
        <v>12713</v>
      </c>
      <c r="G49" s="2" t="s">
        <v>12714</v>
      </c>
      <c r="H49" s="2" t="s">
        <v>12715</v>
      </c>
      <c r="I49" s="8">
        <v>1</v>
      </c>
      <c r="J49" s="2" t="s">
        <v>12716</v>
      </c>
      <c r="K49" s="2"/>
      <c r="L49" s="2" t="s">
        <v>12436</v>
      </c>
      <c r="M49" s="2" t="s">
        <v>29</v>
      </c>
      <c r="N49" s="2" t="s">
        <v>5577</v>
      </c>
      <c r="O49" s="2"/>
      <c r="P49" s="2"/>
    </row>
    <row r="50" spans="1:16" ht="13.2" customHeight="1" x14ac:dyDescent="0.25">
      <c r="A50" s="8" t="s">
        <v>10411</v>
      </c>
      <c r="B50" s="2" t="s">
        <v>12717</v>
      </c>
      <c r="C50" s="2"/>
      <c r="D50" s="2" t="s">
        <v>12718</v>
      </c>
      <c r="E50" s="2" t="s">
        <v>12719</v>
      </c>
      <c r="F50" s="2" t="s">
        <v>12720</v>
      </c>
      <c r="G50" s="2" t="s">
        <v>12721</v>
      </c>
      <c r="H50" s="2" t="s">
        <v>12722</v>
      </c>
      <c r="I50" s="8">
        <v>4</v>
      </c>
      <c r="J50" s="2" t="s">
        <v>12723</v>
      </c>
      <c r="K50" s="2"/>
      <c r="L50" s="2" t="s">
        <v>12436</v>
      </c>
      <c r="M50" s="2" t="s">
        <v>29</v>
      </c>
      <c r="N50" s="2" t="s">
        <v>5585</v>
      </c>
      <c r="O50" s="2"/>
      <c r="P50" s="2"/>
    </row>
    <row r="51" spans="1:16" ht="13.2" customHeight="1" x14ac:dyDescent="0.25">
      <c r="A51" s="8" t="s">
        <v>10419</v>
      </c>
      <c r="B51" s="2" t="s">
        <v>12724</v>
      </c>
      <c r="C51" s="2"/>
      <c r="D51" s="2" t="s">
        <v>12725</v>
      </c>
      <c r="E51" s="2" t="s">
        <v>3176</v>
      </c>
      <c r="F51" s="2" t="s">
        <v>5467</v>
      </c>
      <c r="G51" s="2" t="s">
        <v>5632</v>
      </c>
      <c r="H51" s="2" t="s">
        <v>6242</v>
      </c>
      <c r="I51" s="8">
        <v>5</v>
      </c>
      <c r="J51" s="2" t="s">
        <v>12726</v>
      </c>
      <c r="K51" s="2"/>
      <c r="L51" s="2" t="s">
        <v>12436</v>
      </c>
      <c r="M51" s="2" t="s">
        <v>29</v>
      </c>
      <c r="N51" s="2" t="s">
        <v>1004</v>
      </c>
      <c r="O51" s="2"/>
      <c r="P51" s="2"/>
    </row>
    <row r="52" spans="1:16" ht="13.2" customHeight="1" x14ac:dyDescent="0.25">
      <c r="A52" s="8" t="s">
        <v>10427</v>
      </c>
      <c r="B52" s="2" t="s">
        <v>12727</v>
      </c>
      <c r="C52" s="2"/>
      <c r="D52" s="2" t="s">
        <v>12728</v>
      </c>
      <c r="E52" s="2" t="s">
        <v>459</v>
      </c>
      <c r="F52" s="2" t="s">
        <v>12583</v>
      </c>
      <c r="G52" s="2" t="s">
        <v>12729</v>
      </c>
      <c r="H52" s="2" t="s">
        <v>159</v>
      </c>
      <c r="I52" s="8">
        <v>2</v>
      </c>
      <c r="J52" s="2" t="s">
        <v>12730</v>
      </c>
      <c r="K52" s="2"/>
      <c r="L52" s="2" t="s">
        <v>12436</v>
      </c>
      <c r="M52" s="2" t="s">
        <v>29</v>
      </c>
      <c r="N52" s="2" t="s">
        <v>3122</v>
      </c>
      <c r="O52" s="2"/>
      <c r="P52" s="2"/>
    </row>
    <row r="53" spans="1:16" ht="13.2" customHeight="1" x14ac:dyDescent="0.25">
      <c r="A53" s="8" t="s">
        <v>10431</v>
      </c>
      <c r="B53" s="2" t="s">
        <v>12731</v>
      </c>
      <c r="C53" s="2"/>
      <c r="D53" s="2" t="s">
        <v>12732</v>
      </c>
      <c r="E53" s="2" t="s">
        <v>2534</v>
      </c>
      <c r="F53" s="2" t="s">
        <v>11220</v>
      </c>
      <c r="G53" s="2" t="s">
        <v>12733</v>
      </c>
      <c r="H53" s="2" t="s">
        <v>12734</v>
      </c>
      <c r="I53" s="8">
        <v>3</v>
      </c>
      <c r="J53" s="2" t="s">
        <v>12735</v>
      </c>
      <c r="K53" s="2"/>
      <c r="L53" s="2" t="s">
        <v>12436</v>
      </c>
      <c r="M53" s="2" t="s">
        <v>29</v>
      </c>
      <c r="N53" s="2" t="s">
        <v>12736</v>
      </c>
      <c r="O53" s="2"/>
      <c r="P53" s="2"/>
    </row>
    <row r="54" spans="1:16" ht="13.2" customHeight="1" x14ac:dyDescent="0.25">
      <c r="A54" s="8" t="s">
        <v>10436</v>
      </c>
      <c r="B54" s="2" t="s">
        <v>12737</v>
      </c>
      <c r="C54" s="2"/>
      <c r="D54" s="2" t="s">
        <v>12738</v>
      </c>
      <c r="E54" s="2" t="s">
        <v>12739</v>
      </c>
      <c r="F54" s="2" t="s">
        <v>12439</v>
      </c>
      <c r="G54" s="2" t="s">
        <v>12740</v>
      </c>
      <c r="H54" s="2" t="s">
        <v>12741</v>
      </c>
      <c r="I54" s="8">
        <v>4</v>
      </c>
      <c r="J54" s="2" t="s">
        <v>12742</v>
      </c>
      <c r="K54" s="2"/>
      <c r="L54" s="2" t="s">
        <v>12436</v>
      </c>
      <c r="M54" s="2" t="s">
        <v>29</v>
      </c>
      <c r="N54" s="2" t="s">
        <v>3136</v>
      </c>
      <c r="O54" s="2"/>
      <c r="P54" s="2"/>
    </row>
    <row r="55" spans="1:16" ht="13.2" customHeight="1" x14ac:dyDescent="0.25">
      <c r="A55" s="8" t="s">
        <v>10440</v>
      </c>
      <c r="B55" s="2" t="s">
        <v>12743</v>
      </c>
      <c r="C55" s="2"/>
      <c r="D55" s="2" t="s">
        <v>12744</v>
      </c>
      <c r="E55" s="2" t="s">
        <v>12745</v>
      </c>
      <c r="F55" s="2" t="s">
        <v>12746</v>
      </c>
      <c r="G55" s="2" t="s">
        <v>8526</v>
      </c>
      <c r="H55" s="2" t="s">
        <v>12747</v>
      </c>
      <c r="I55" s="8">
        <v>5</v>
      </c>
      <c r="J55" s="2" t="s">
        <v>12748</v>
      </c>
      <c r="K55" s="2"/>
      <c r="L55" s="2" t="s">
        <v>12436</v>
      </c>
      <c r="M55" s="2" t="s">
        <v>29</v>
      </c>
      <c r="N55" s="2" t="s">
        <v>3140</v>
      </c>
      <c r="O55" s="2"/>
      <c r="P55" s="2"/>
    </row>
    <row r="56" spans="1:16" ht="13.2" customHeight="1" x14ac:dyDescent="0.25">
      <c r="A56" s="8" t="s">
        <v>10445</v>
      </c>
      <c r="B56" s="2" t="s">
        <v>12749</v>
      </c>
      <c r="C56" s="2"/>
      <c r="D56" s="2" t="s">
        <v>12750</v>
      </c>
      <c r="E56" s="2" t="s">
        <v>12751</v>
      </c>
      <c r="F56" s="2" t="s">
        <v>12752</v>
      </c>
      <c r="G56" s="2" t="s">
        <v>12753</v>
      </c>
      <c r="H56" s="2" t="s">
        <v>12754</v>
      </c>
      <c r="I56" s="8">
        <v>5</v>
      </c>
      <c r="J56" s="2" t="s">
        <v>12755</v>
      </c>
      <c r="K56" s="2"/>
      <c r="L56" s="2" t="s">
        <v>12436</v>
      </c>
      <c r="M56" s="2" t="s">
        <v>29</v>
      </c>
      <c r="N56" s="2" t="s">
        <v>9683</v>
      </c>
      <c r="O56" s="2"/>
      <c r="P56" s="2"/>
    </row>
    <row r="57" spans="1:16" ht="13.2" customHeight="1" x14ac:dyDescent="0.25">
      <c r="A57" s="8" t="s">
        <v>10450</v>
      </c>
      <c r="B57" s="2" t="s">
        <v>12756</v>
      </c>
      <c r="C57" s="2"/>
      <c r="D57" s="2" t="s">
        <v>904</v>
      </c>
      <c r="E57" s="2" t="s">
        <v>12757</v>
      </c>
      <c r="F57" s="2" t="s">
        <v>903</v>
      </c>
      <c r="G57" s="2" t="s">
        <v>7060</v>
      </c>
      <c r="H57" s="2" t="s">
        <v>6540</v>
      </c>
      <c r="I57" s="8">
        <v>3</v>
      </c>
      <c r="J57" s="2" t="s">
        <v>12758</v>
      </c>
      <c r="K57" s="2"/>
      <c r="L57" s="2" t="s">
        <v>12436</v>
      </c>
      <c r="M57" s="2" t="s">
        <v>29</v>
      </c>
      <c r="N57" s="2" t="s">
        <v>5635</v>
      </c>
      <c r="O57" s="2"/>
      <c r="P57" s="2"/>
    </row>
    <row r="58" spans="1:16" ht="13.2" customHeight="1" x14ac:dyDescent="0.25">
      <c r="A58" s="8" t="s">
        <v>10457</v>
      </c>
      <c r="B58" s="2" t="s">
        <v>12759</v>
      </c>
      <c r="C58" s="2"/>
      <c r="D58" s="2" t="s">
        <v>12760</v>
      </c>
      <c r="E58" s="2" t="s">
        <v>12761</v>
      </c>
      <c r="F58" s="2" t="s">
        <v>12762</v>
      </c>
      <c r="G58" s="2" t="s">
        <v>12763</v>
      </c>
      <c r="H58" s="2" t="s">
        <v>12764</v>
      </c>
      <c r="I58" s="8">
        <v>3</v>
      </c>
      <c r="J58" s="2" t="s">
        <v>12765</v>
      </c>
      <c r="K58" s="2"/>
      <c r="L58" s="2" t="s">
        <v>12436</v>
      </c>
      <c r="M58" s="2" t="s">
        <v>29</v>
      </c>
      <c r="N58" s="2" t="s">
        <v>12766</v>
      </c>
      <c r="O58" s="2"/>
      <c r="P58" s="2"/>
    </row>
    <row r="59" spans="1:16" ht="13.2" customHeight="1" x14ac:dyDescent="0.25">
      <c r="A59" s="8" t="s">
        <v>10461</v>
      </c>
      <c r="B59" s="2" t="s">
        <v>12767</v>
      </c>
      <c r="C59" s="2"/>
      <c r="D59" s="2" t="s">
        <v>12768</v>
      </c>
      <c r="E59" s="2" t="s">
        <v>12769</v>
      </c>
      <c r="F59" s="2" t="s">
        <v>12770</v>
      </c>
      <c r="G59" s="2" t="s">
        <v>12771</v>
      </c>
      <c r="H59" s="2" t="s">
        <v>12772</v>
      </c>
      <c r="I59" s="8">
        <v>2</v>
      </c>
      <c r="J59" s="2" t="s">
        <v>12773</v>
      </c>
      <c r="K59" s="2"/>
      <c r="L59" s="2" t="s">
        <v>12436</v>
      </c>
      <c r="M59" s="2" t="s">
        <v>29</v>
      </c>
      <c r="N59" s="2" t="s">
        <v>12774</v>
      </c>
      <c r="O59" s="2"/>
      <c r="P59" s="2"/>
    </row>
    <row r="60" spans="1:16" ht="13.2" customHeight="1" x14ac:dyDescent="0.25">
      <c r="A60" s="8" t="s">
        <v>10465</v>
      </c>
      <c r="B60" s="2" t="s">
        <v>12775</v>
      </c>
      <c r="C60" s="2"/>
      <c r="D60" s="2" t="s">
        <v>12776</v>
      </c>
      <c r="E60" s="2" t="s">
        <v>4260</v>
      </c>
      <c r="F60" s="2" t="s">
        <v>6672</v>
      </c>
      <c r="G60" s="2" t="s">
        <v>12777</v>
      </c>
      <c r="H60" s="2" t="s">
        <v>12757</v>
      </c>
      <c r="I60" s="8">
        <v>1</v>
      </c>
      <c r="J60" s="2" t="s">
        <v>12778</v>
      </c>
      <c r="K60" s="2"/>
      <c r="L60" s="2" t="s">
        <v>12436</v>
      </c>
      <c r="M60" s="2" t="s">
        <v>29</v>
      </c>
      <c r="N60" s="2" t="s">
        <v>12779</v>
      </c>
      <c r="O60" s="2"/>
      <c r="P60" s="2"/>
    </row>
    <row r="61" spans="1:16" ht="13.2" customHeight="1" x14ac:dyDescent="0.25">
      <c r="A61" s="8" t="s">
        <v>10468</v>
      </c>
      <c r="B61" s="2" t="s">
        <v>12780</v>
      </c>
      <c r="C61" s="2"/>
      <c r="D61" s="2" t="s">
        <v>12624</v>
      </c>
      <c r="E61" s="2" t="s">
        <v>12781</v>
      </c>
      <c r="F61" s="2" t="s">
        <v>12543</v>
      </c>
      <c r="G61" s="2" t="s">
        <v>12647</v>
      </c>
      <c r="H61" s="2" t="s">
        <v>12542</v>
      </c>
      <c r="I61" s="8">
        <v>3</v>
      </c>
      <c r="J61" s="2" t="s">
        <v>12782</v>
      </c>
      <c r="K61" s="2"/>
      <c r="L61" s="2" t="s">
        <v>12436</v>
      </c>
      <c r="M61" s="2" t="s">
        <v>29</v>
      </c>
      <c r="N61" s="2" t="s">
        <v>5673</v>
      </c>
      <c r="O61" s="2"/>
      <c r="P61" s="2"/>
    </row>
    <row r="62" spans="1:16" ht="13.2" customHeight="1" x14ac:dyDescent="0.25">
      <c r="A62" s="8" t="s">
        <v>10470</v>
      </c>
      <c r="B62" s="2" t="s">
        <v>12783</v>
      </c>
      <c r="C62" s="2"/>
      <c r="D62" s="2" t="s">
        <v>12776</v>
      </c>
      <c r="E62" s="2" t="s">
        <v>12784</v>
      </c>
      <c r="F62" s="2" t="s">
        <v>6672</v>
      </c>
      <c r="G62" s="2" t="s">
        <v>12777</v>
      </c>
      <c r="H62" s="2" t="s">
        <v>12757</v>
      </c>
      <c r="I62" s="8">
        <v>2</v>
      </c>
      <c r="J62" s="2" t="s">
        <v>12785</v>
      </c>
      <c r="K62" s="2"/>
      <c r="L62" s="2" t="s">
        <v>12436</v>
      </c>
      <c r="M62" s="2" t="s">
        <v>29</v>
      </c>
      <c r="N62" s="2" t="s">
        <v>12786</v>
      </c>
      <c r="O62" s="2"/>
      <c r="P62" s="2"/>
    </row>
    <row r="63" spans="1:16" ht="13.2" customHeight="1" x14ac:dyDescent="0.25">
      <c r="A63" s="8" t="s">
        <v>10478</v>
      </c>
      <c r="B63" s="2" t="s">
        <v>12787</v>
      </c>
      <c r="C63" s="2"/>
      <c r="D63" s="2" t="s">
        <v>6241</v>
      </c>
      <c r="E63" s="2" t="s">
        <v>6242</v>
      </c>
      <c r="F63" s="2" t="s">
        <v>1133</v>
      </c>
      <c r="G63" s="2" t="s">
        <v>161</v>
      </c>
      <c r="H63" s="2" t="s">
        <v>1132</v>
      </c>
      <c r="I63" s="8">
        <v>5</v>
      </c>
      <c r="J63" s="2" t="s">
        <v>12788</v>
      </c>
      <c r="K63" s="2"/>
      <c r="L63" s="2" t="s">
        <v>12436</v>
      </c>
      <c r="M63" s="2" t="s">
        <v>29</v>
      </c>
      <c r="N63" s="2" t="s">
        <v>5685</v>
      </c>
      <c r="O63" s="2"/>
      <c r="P63" s="2"/>
    </row>
    <row r="64" spans="1:16" ht="13.2" customHeight="1" x14ac:dyDescent="0.25">
      <c r="A64" s="8" t="s">
        <v>10484</v>
      </c>
      <c r="B64" s="2" t="s">
        <v>12789</v>
      </c>
      <c r="C64" s="2"/>
      <c r="D64" s="8" t="s">
        <v>12790</v>
      </c>
      <c r="E64" s="8" t="s">
        <v>12791</v>
      </c>
      <c r="F64" s="8" t="s">
        <v>12792</v>
      </c>
      <c r="G64" s="2" t="s">
        <v>12793</v>
      </c>
      <c r="H64" s="8" t="s">
        <v>12794</v>
      </c>
      <c r="I64" s="8">
        <v>1</v>
      </c>
      <c r="J64" s="2" t="s">
        <v>12795</v>
      </c>
      <c r="K64" s="2"/>
      <c r="L64" s="2" t="s">
        <v>12436</v>
      </c>
      <c r="M64" s="2" t="s">
        <v>12796</v>
      </c>
      <c r="N64" s="2" t="s">
        <v>12797</v>
      </c>
      <c r="O64" s="2"/>
      <c r="P64" s="2"/>
    </row>
    <row r="65" spans="1:17" ht="13.2" customHeight="1" x14ac:dyDescent="0.25">
      <c r="A65" s="8" t="s">
        <v>10488</v>
      </c>
      <c r="B65" s="2" t="s">
        <v>12798</v>
      </c>
      <c r="C65" s="2"/>
      <c r="D65" s="2" t="s">
        <v>12796</v>
      </c>
      <c r="E65" s="2" t="s">
        <v>12495</v>
      </c>
      <c r="F65" s="2" t="s">
        <v>12496</v>
      </c>
      <c r="G65" s="2" t="s">
        <v>12497</v>
      </c>
      <c r="H65" s="2" t="s">
        <v>12763</v>
      </c>
      <c r="I65" s="8">
        <v>1</v>
      </c>
      <c r="J65" s="2" t="s">
        <v>12799</v>
      </c>
      <c r="K65" s="2"/>
      <c r="L65" s="2" t="s">
        <v>12436</v>
      </c>
      <c r="M65" s="2" t="s">
        <v>12796</v>
      </c>
      <c r="N65" s="2" t="s">
        <v>11814</v>
      </c>
      <c r="O65" s="2"/>
      <c r="P65" s="2"/>
    </row>
    <row r="66" spans="1:17" ht="13.2" customHeight="1" x14ac:dyDescent="0.25">
      <c r="A66" s="8" t="s">
        <v>10491</v>
      </c>
      <c r="B66" s="2" t="s">
        <v>12800</v>
      </c>
      <c r="C66" s="2"/>
      <c r="D66" s="2" t="s">
        <v>12796</v>
      </c>
      <c r="E66" s="2" t="s">
        <v>12763</v>
      </c>
      <c r="F66" s="2" t="s">
        <v>12801</v>
      </c>
      <c r="G66" s="2" t="s">
        <v>12802</v>
      </c>
      <c r="H66" s="2" t="s">
        <v>12803</v>
      </c>
      <c r="I66" s="8">
        <v>1</v>
      </c>
      <c r="J66" s="2" t="s">
        <v>12804</v>
      </c>
      <c r="K66" s="2"/>
      <c r="L66" s="2" t="s">
        <v>12436</v>
      </c>
      <c r="M66" s="2" t="s">
        <v>12796</v>
      </c>
      <c r="N66" s="2" t="s">
        <v>9770</v>
      </c>
      <c r="O66" s="2"/>
      <c r="P66" s="2"/>
    </row>
    <row r="67" spans="1:17" ht="13.2" customHeight="1" x14ac:dyDescent="0.25">
      <c r="A67" s="8" t="s">
        <v>10494</v>
      </c>
      <c r="B67" s="2" t="s">
        <v>12805</v>
      </c>
      <c r="C67" s="2"/>
      <c r="D67" s="2" t="s">
        <v>12796</v>
      </c>
      <c r="E67" s="2" t="s">
        <v>12806</v>
      </c>
      <c r="F67" s="2" t="s">
        <v>12807</v>
      </c>
      <c r="G67" s="2" t="s">
        <v>12808</v>
      </c>
      <c r="H67" s="2" t="s">
        <v>12493</v>
      </c>
      <c r="I67" s="8">
        <v>1</v>
      </c>
      <c r="J67" s="2" t="s">
        <v>12809</v>
      </c>
      <c r="K67" s="2"/>
      <c r="L67" s="2" t="s">
        <v>12436</v>
      </c>
      <c r="M67" s="2" t="s">
        <v>12796</v>
      </c>
      <c r="N67" s="2" t="s">
        <v>12810</v>
      </c>
      <c r="O67" s="2"/>
      <c r="P67" s="2"/>
    </row>
    <row r="68" spans="1:17" ht="13.2" customHeight="1" x14ac:dyDescent="0.25">
      <c r="A68" s="8" t="s">
        <v>10494</v>
      </c>
      <c r="B68" s="2" t="s">
        <v>12811</v>
      </c>
      <c r="C68" s="2"/>
      <c r="D68" s="2" t="s">
        <v>2981</v>
      </c>
      <c r="E68" s="2" t="s">
        <v>12812</v>
      </c>
      <c r="F68" s="2" t="s">
        <v>1458</v>
      </c>
      <c r="G68" s="2" t="s">
        <v>1454</v>
      </c>
      <c r="H68" s="2" t="s">
        <v>12813</v>
      </c>
      <c r="I68" s="8">
        <v>1</v>
      </c>
      <c r="J68" s="2" t="s">
        <v>12814</v>
      </c>
      <c r="K68" s="2"/>
      <c r="L68" s="2" t="s">
        <v>12436</v>
      </c>
      <c r="M68" s="2" t="s">
        <v>29</v>
      </c>
      <c r="N68" s="2" t="s">
        <v>6138</v>
      </c>
      <c r="O68" s="2"/>
      <c r="P68" s="2"/>
    </row>
    <row r="69" spans="1:17" ht="13.2" customHeight="1" x14ac:dyDescent="0.25">
      <c r="A69" s="8" t="s">
        <v>10497</v>
      </c>
      <c r="B69" s="2" t="s">
        <v>12815</v>
      </c>
      <c r="C69" s="2"/>
      <c r="D69" s="2" t="s">
        <v>12816</v>
      </c>
      <c r="E69" s="2" t="s">
        <v>12817</v>
      </c>
      <c r="F69" s="2" t="s">
        <v>12818</v>
      </c>
      <c r="G69" s="2" t="s">
        <v>12819</v>
      </c>
      <c r="H69" s="2" t="s">
        <v>12820</v>
      </c>
      <c r="I69" s="8">
        <v>1</v>
      </c>
      <c r="J69" s="2" t="s">
        <v>12821</v>
      </c>
      <c r="K69" s="2"/>
      <c r="L69" s="2" t="s">
        <v>12436</v>
      </c>
      <c r="M69" s="2" t="s">
        <v>29</v>
      </c>
      <c r="N69" s="2" t="s">
        <v>12822</v>
      </c>
      <c r="O69" s="2"/>
      <c r="P69" s="2"/>
    </row>
    <row r="70" spans="1:17" ht="13.2" customHeight="1" x14ac:dyDescent="0.25">
      <c r="A70" s="8" t="s">
        <v>10500</v>
      </c>
      <c r="B70" s="2" t="s">
        <v>12823</v>
      </c>
      <c r="C70" s="2"/>
      <c r="D70" s="2" t="s">
        <v>12763</v>
      </c>
      <c r="E70" s="2" t="s">
        <v>12801</v>
      </c>
      <c r="F70" s="2" t="s">
        <v>12802</v>
      </c>
      <c r="G70" s="2" t="s">
        <v>12803</v>
      </c>
      <c r="H70" s="2" t="s">
        <v>12807</v>
      </c>
      <c r="I70" s="8">
        <v>1</v>
      </c>
      <c r="J70" s="2" t="s">
        <v>12824</v>
      </c>
      <c r="K70" s="2"/>
      <c r="L70" s="2" t="s">
        <v>12436</v>
      </c>
      <c r="M70" s="2" t="s">
        <v>29</v>
      </c>
      <c r="N70" s="2" t="s">
        <v>3681</v>
      </c>
      <c r="O70" s="2"/>
      <c r="P70" s="2"/>
      <c r="Q70" s="2"/>
    </row>
    <row r="71" spans="1:17" ht="13.2" customHeight="1" x14ac:dyDescent="0.25">
      <c r="A71" s="8" t="s">
        <v>10504</v>
      </c>
      <c r="B71" s="2" t="s">
        <v>12825</v>
      </c>
      <c r="C71" s="2"/>
      <c r="D71" s="2" t="s">
        <v>12803</v>
      </c>
      <c r="E71" s="2" t="s">
        <v>12807</v>
      </c>
      <c r="F71" s="2" t="s">
        <v>12808</v>
      </c>
      <c r="G71" s="2" t="s">
        <v>12493</v>
      </c>
      <c r="H71" s="2" t="s">
        <v>12494</v>
      </c>
      <c r="I71" s="8">
        <v>1</v>
      </c>
      <c r="J71" s="2" t="s">
        <v>12826</v>
      </c>
      <c r="K71" s="2"/>
      <c r="L71" s="2" t="s">
        <v>12436</v>
      </c>
      <c r="M71" s="2" t="s">
        <v>29</v>
      </c>
      <c r="N71" s="2" t="s">
        <v>3689</v>
      </c>
      <c r="O71" s="2"/>
      <c r="P71" s="2"/>
    </row>
    <row r="72" spans="1:17" ht="13.2" customHeight="1" x14ac:dyDescent="0.25">
      <c r="A72" s="8" t="s">
        <v>10507</v>
      </c>
      <c r="B72" s="2" t="s">
        <v>12827</v>
      </c>
      <c r="C72" s="2"/>
      <c r="D72" s="2" t="s">
        <v>12493</v>
      </c>
      <c r="E72" s="2" t="s">
        <v>12494</v>
      </c>
      <c r="F72" s="2" t="s">
        <v>12495</v>
      </c>
      <c r="G72" s="2" t="s">
        <v>12496</v>
      </c>
      <c r="H72" s="2" t="s">
        <v>12497</v>
      </c>
      <c r="I72" s="8">
        <v>1</v>
      </c>
      <c r="J72" s="2" t="s">
        <v>12828</v>
      </c>
      <c r="K72" s="2"/>
      <c r="L72" s="2" t="s">
        <v>12436</v>
      </c>
      <c r="M72" s="2" t="s">
        <v>29</v>
      </c>
      <c r="N72" s="2" t="s">
        <v>9897</v>
      </c>
      <c r="O72" s="2"/>
      <c r="P72" s="2"/>
    </row>
    <row r="73" spans="1:17" ht="13.2" customHeight="1" x14ac:dyDescent="0.25">
      <c r="A73" s="8" t="s">
        <v>10510</v>
      </c>
      <c r="B73" s="2" t="s">
        <v>12829</v>
      </c>
      <c r="C73" s="2"/>
      <c r="D73" s="2" t="s">
        <v>12496</v>
      </c>
      <c r="E73" s="2" t="s">
        <v>12497</v>
      </c>
      <c r="F73" s="2" t="s">
        <v>12763</v>
      </c>
      <c r="G73" s="2" t="s">
        <v>12801</v>
      </c>
      <c r="H73" s="2" t="s">
        <v>12802</v>
      </c>
      <c r="I73" s="8">
        <v>1</v>
      </c>
      <c r="J73" s="2" t="s">
        <v>12830</v>
      </c>
      <c r="K73" s="2"/>
      <c r="L73" s="2" t="s">
        <v>12436</v>
      </c>
      <c r="M73" s="2" t="s">
        <v>29</v>
      </c>
      <c r="N73" s="2" t="s">
        <v>6181</v>
      </c>
      <c r="O73" s="2"/>
      <c r="P73" s="2"/>
    </row>
    <row r="74" spans="1:17" ht="13.2" customHeight="1" x14ac:dyDescent="0.25">
      <c r="A74" s="8" t="s">
        <v>10517</v>
      </c>
      <c r="B74" s="2" t="s">
        <v>12831</v>
      </c>
      <c r="C74" s="2"/>
      <c r="D74" s="2" t="s">
        <v>12801</v>
      </c>
      <c r="E74" s="2" t="s">
        <v>12802</v>
      </c>
      <c r="F74" s="2" t="s">
        <v>12803</v>
      </c>
      <c r="G74" s="2" t="s">
        <v>12807</v>
      </c>
      <c r="H74" s="2" t="s">
        <v>12808</v>
      </c>
      <c r="I74" s="8">
        <v>1</v>
      </c>
      <c r="J74" s="2" t="s">
        <v>12832</v>
      </c>
      <c r="K74" s="2"/>
      <c r="L74" s="2" t="s">
        <v>12436</v>
      </c>
      <c r="M74" s="2" t="s">
        <v>29</v>
      </c>
      <c r="N74" s="2" t="s">
        <v>3699</v>
      </c>
      <c r="O74" s="2"/>
      <c r="P74" s="2"/>
    </row>
    <row r="75" spans="1:17" ht="13.2" customHeight="1" x14ac:dyDescent="0.25">
      <c r="A75" s="8" t="s">
        <v>10520</v>
      </c>
      <c r="B75" s="2" t="s">
        <v>12833</v>
      </c>
      <c r="C75" s="2"/>
      <c r="D75" s="2" t="s">
        <v>12807</v>
      </c>
      <c r="E75" s="2" t="s">
        <v>12808</v>
      </c>
      <c r="F75" s="2" t="s">
        <v>12493</v>
      </c>
      <c r="G75" s="2" t="s">
        <v>12494</v>
      </c>
      <c r="H75" s="2" t="s">
        <v>12495</v>
      </c>
      <c r="I75" s="8">
        <v>1</v>
      </c>
      <c r="J75" s="2" t="s">
        <v>12834</v>
      </c>
      <c r="K75" s="2"/>
      <c r="L75" s="2" t="s">
        <v>12436</v>
      </c>
      <c r="M75" s="2" t="s">
        <v>29</v>
      </c>
      <c r="N75" s="2" t="s">
        <v>6181</v>
      </c>
      <c r="O75" s="2"/>
      <c r="P75" s="2"/>
    </row>
    <row r="76" spans="1:17" ht="13.2" customHeight="1" x14ac:dyDescent="0.25">
      <c r="A76" s="8" t="s">
        <v>10523</v>
      </c>
      <c r="B76" s="2" t="s">
        <v>12835</v>
      </c>
      <c r="C76" s="2"/>
      <c r="D76" s="2" t="s">
        <v>12494</v>
      </c>
      <c r="E76" s="2" t="s">
        <v>12495</v>
      </c>
      <c r="F76" s="2" t="s">
        <v>12496</v>
      </c>
      <c r="G76" s="2" t="s">
        <v>12497</v>
      </c>
      <c r="H76" s="2" t="s">
        <v>12763</v>
      </c>
      <c r="I76" s="8">
        <v>1</v>
      </c>
      <c r="J76" s="2" t="s">
        <v>12836</v>
      </c>
      <c r="K76" s="2"/>
      <c r="L76" s="2" t="s">
        <v>12436</v>
      </c>
      <c r="M76" s="2" t="s">
        <v>29</v>
      </c>
      <c r="N76" s="2" t="s">
        <v>3689</v>
      </c>
      <c r="O76" s="2"/>
      <c r="P76" s="2"/>
    </row>
    <row r="77" spans="1:17" ht="13.2" customHeight="1" x14ac:dyDescent="0.25">
      <c r="A77" s="8" t="s">
        <v>10526</v>
      </c>
      <c r="B77" s="2" t="s">
        <v>12837</v>
      </c>
      <c r="C77" s="2"/>
      <c r="D77" s="2" t="s">
        <v>12497</v>
      </c>
      <c r="E77" s="2" t="s">
        <v>12763</v>
      </c>
      <c r="F77" s="2" t="s">
        <v>12801</v>
      </c>
      <c r="G77" s="2" t="s">
        <v>12802</v>
      </c>
      <c r="H77" s="2" t="s">
        <v>12803</v>
      </c>
      <c r="I77" s="8">
        <v>1</v>
      </c>
      <c r="J77" s="2" t="s">
        <v>12838</v>
      </c>
      <c r="K77" s="2"/>
      <c r="L77" s="2" t="s">
        <v>12436</v>
      </c>
      <c r="M77" s="2" t="s">
        <v>29</v>
      </c>
      <c r="N77" s="2" t="s">
        <v>6181</v>
      </c>
      <c r="O77" s="2"/>
      <c r="P77" s="2"/>
    </row>
    <row r="78" spans="1:17" ht="13.2" customHeight="1" x14ac:dyDescent="0.25">
      <c r="A78" s="8" t="s">
        <v>10531</v>
      </c>
      <c r="B78" s="2" t="s">
        <v>12839</v>
      </c>
      <c r="C78" s="2"/>
      <c r="D78" s="2" t="s">
        <v>12802</v>
      </c>
      <c r="E78" s="2" t="s">
        <v>12803</v>
      </c>
      <c r="F78" s="2" t="s">
        <v>12807</v>
      </c>
      <c r="G78" s="2" t="s">
        <v>12808</v>
      </c>
      <c r="H78" s="2" t="s">
        <v>12493</v>
      </c>
      <c r="I78" s="8">
        <v>1</v>
      </c>
      <c r="J78" s="2" t="s">
        <v>12840</v>
      </c>
      <c r="K78" s="2"/>
      <c r="L78" s="2" t="s">
        <v>12436</v>
      </c>
      <c r="M78" s="2" t="s">
        <v>29</v>
      </c>
      <c r="N78" s="2" t="s">
        <v>3699</v>
      </c>
      <c r="O78" s="2"/>
      <c r="P78" s="2"/>
    </row>
    <row r="79" spans="1:17" ht="13.2" customHeight="1" x14ac:dyDescent="0.25">
      <c r="A79" s="8" t="s">
        <v>10534</v>
      </c>
      <c r="B79" s="2" t="s">
        <v>12841</v>
      </c>
      <c r="C79" s="2"/>
      <c r="D79" s="2" t="s">
        <v>12842</v>
      </c>
      <c r="E79" s="2" t="s">
        <v>12843</v>
      </c>
      <c r="F79" s="2" t="s">
        <v>12844</v>
      </c>
      <c r="G79" s="2" t="s">
        <v>12845</v>
      </c>
      <c r="H79" s="2" t="s">
        <v>12846</v>
      </c>
      <c r="I79" s="8">
        <v>1</v>
      </c>
      <c r="J79" s="2" t="s">
        <v>12847</v>
      </c>
      <c r="K79" s="2"/>
      <c r="L79" s="2" t="s">
        <v>12436</v>
      </c>
      <c r="M79" s="2" t="s">
        <v>29</v>
      </c>
      <c r="N79" s="2" t="s">
        <v>3819</v>
      </c>
      <c r="O79" s="2"/>
      <c r="P79" s="2"/>
    </row>
    <row r="80" spans="1:17" ht="13.2" customHeight="1" x14ac:dyDescent="0.25">
      <c r="A80" s="8" t="s">
        <v>10537</v>
      </c>
      <c r="B80" s="2" t="s">
        <v>12848</v>
      </c>
      <c r="C80" s="2"/>
      <c r="D80" s="2" t="s">
        <v>12495</v>
      </c>
      <c r="E80" s="2" t="s">
        <v>12496</v>
      </c>
      <c r="F80" s="2" t="s">
        <v>12497</v>
      </c>
      <c r="G80" s="2" t="s">
        <v>12763</v>
      </c>
      <c r="H80" s="2" t="s">
        <v>12801</v>
      </c>
      <c r="I80" s="8">
        <v>1</v>
      </c>
      <c r="J80" s="2" t="s">
        <v>12849</v>
      </c>
      <c r="K80" s="2"/>
      <c r="L80" s="2" t="s">
        <v>12436</v>
      </c>
      <c r="M80" s="2" t="s">
        <v>29</v>
      </c>
      <c r="N80" s="2" t="s">
        <v>1669</v>
      </c>
      <c r="O80" s="2"/>
      <c r="P80" s="2"/>
    </row>
    <row r="81" spans="1:16" ht="13.2" customHeight="1" x14ac:dyDescent="0.25">
      <c r="A81" s="8" t="s">
        <v>10540</v>
      </c>
      <c r="B81" s="2" t="s">
        <v>12850</v>
      </c>
      <c r="C81" s="2"/>
      <c r="D81" s="2" t="s">
        <v>12763</v>
      </c>
      <c r="E81" s="2" t="s">
        <v>12801</v>
      </c>
      <c r="F81" s="2" t="s">
        <v>12802</v>
      </c>
      <c r="G81" s="2" t="s">
        <v>12803</v>
      </c>
      <c r="H81" s="2" t="s">
        <v>12807</v>
      </c>
      <c r="I81" s="8">
        <v>1</v>
      </c>
      <c r="J81" s="2" t="s">
        <v>12824</v>
      </c>
      <c r="K81" s="2"/>
      <c r="L81" s="2" t="s">
        <v>12436</v>
      </c>
      <c r="M81" s="2" t="s">
        <v>29</v>
      </c>
      <c r="N81" s="2" t="s">
        <v>1669</v>
      </c>
      <c r="O81" s="2"/>
      <c r="P81" s="2"/>
    </row>
    <row r="82" spans="1:16" ht="13.2" customHeight="1" x14ac:dyDescent="0.25">
      <c r="A82" s="8" t="s">
        <v>10544</v>
      </c>
      <c r="B82" s="2" t="s">
        <v>12851</v>
      </c>
      <c r="C82" s="2"/>
      <c r="D82" s="2" t="s">
        <v>12803</v>
      </c>
      <c r="E82" s="2" t="s">
        <v>12807</v>
      </c>
      <c r="F82" s="2" t="s">
        <v>12808</v>
      </c>
      <c r="G82" s="2" t="s">
        <v>12493</v>
      </c>
      <c r="H82" s="2" t="s">
        <v>12494</v>
      </c>
      <c r="I82" s="8">
        <v>1</v>
      </c>
      <c r="J82" s="2" t="s">
        <v>12826</v>
      </c>
      <c r="K82" s="2"/>
      <c r="L82" s="2" t="s">
        <v>12436</v>
      </c>
      <c r="M82" s="2" t="s">
        <v>29</v>
      </c>
      <c r="N82" s="2" t="s">
        <v>12852</v>
      </c>
      <c r="O82" s="2"/>
      <c r="P82" s="2"/>
    </row>
    <row r="83" spans="1:16" ht="13.2" customHeight="1" x14ac:dyDescent="0.25">
      <c r="A83" s="8" t="s">
        <v>10552</v>
      </c>
      <c r="B83" s="2" t="s">
        <v>12853</v>
      </c>
      <c r="C83" s="2"/>
      <c r="D83" s="2" t="s">
        <v>12493</v>
      </c>
      <c r="E83" s="2" t="s">
        <v>12494</v>
      </c>
      <c r="F83" s="2" t="s">
        <v>12495</v>
      </c>
      <c r="G83" s="2" t="s">
        <v>12496</v>
      </c>
      <c r="H83" s="2" t="s">
        <v>12497</v>
      </c>
      <c r="I83" s="8">
        <v>1</v>
      </c>
      <c r="J83" s="2" t="s">
        <v>12828</v>
      </c>
      <c r="K83" s="2"/>
      <c r="L83" s="2" t="s">
        <v>12436</v>
      </c>
      <c r="M83" s="2" t="s">
        <v>29</v>
      </c>
      <c r="N83" s="2" t="s">
        <v>3936</v>
      </c>
      <c r="O83" s="2"/>
      <c r="P83" s="2"/>
    </row>
    <row r="84" spans="1:16" ht="13.2" customHeight="1" x14ac:dyDescent="0.25">
      <c r="A84" s="8" t="s">
        <v>10555</v>
      </c>
      <c r="B84" s="2" t="s">
        <v>12854</v>
      </c>
      <c r="C84" s="2"/>
      <c r="D84" s="2" t="s">
        <v>12496</v>
      </c>
      <c r="E84" s="2" t="s">
        <v>12497</v>
      </c>
      <c r="F84" s="2" t="s">
        <v>12763</v>
      </c>
      <c r="G84" s="2" t="s">
        <v>12801</v>
      </c>
      <c r="H84" s="2" t="s">
        <v>12802</v>
      </c>
      <c r="I84" s="8">
        <v>1</v>
      </c>
      <c r="J84" s="2" t="s">
        <v>12830</v>
      </c>
      <c r="K84" s="2"/>
      <c r="L84" s="2" t="s">
        <v>12436</v>
      </c>
      <c r="M84" s="2" t="s">
        <v>29</v>
      </c>
      <c r="N84" s="2" t="s">
        <v>3887</v>
      </c>
      <c r="O84" s="2"/>
      <c r="P84" s="2"/>
    </row>
    <row r="85" spans="1:16" ht="13.2" customHeight="1" x14ac:dyDescent="0.25">
      <c r="A85" s="8" t="s">
        <v>10558</v>
      </c>
      <c r="B85" s="2" t="s">
        <v>12855</v>
      </c>
      <c r="C85" s="2"/>
      <c r="D85" s="2" t="s">
        <v>12801</v>
      </c>
      <c r="E85" s="2" t="s">
        <v>12802</v>
      </c>
      <c r="F85" s="2" t="s">
        <v>12803</v>
      </c>
      <c r="G85" s="2" t="s">
        <v>12807</v>
      </c>
      <c r="H85" s="2" t="s">
        <v>12808</v>
      </c>
      <c r="I85" s="8">
        <v>1</v>
      </c>
      <c r="J85" s="2" t="s">
        <v>12832</v>
      </c>
      <c r="K85" s="2"/>
      <c r="L85" s="2" t="s">
        <v>12436</v>
      </c>
      <c r="M85" s="2" t="s">
        <v>29</v>
      </c>
      <c r="N85" s="2" t="s">
        <v>3936</v>
      </c>
      <c r="O85" s="2"/>
      <c r="P85" s="2"/>
    </row>
    <row r="86" spans="1:16" ht="13.2" customHeight="1" x14ac:dyDescent="0.25">
      <c r="A86" s="8" t="s">
        <v>10566</v>
      </c>
      <c r="B86" s="2" t="s">
        <v>12856</v>
      </c>
      <c r="C86" s="2"/>
      <c r="D86" s="2" t="s">
        <v>12807</v>
      </c>
      <c r="E86" s="2" t="s">
        <v>12808</v>
      </c>
      <c r="F86" s="2" t="s">
        <v>12493</v>
      </c>
      <c r="G86" s="2" t="s">
        <v>12494</v>
      </c>
      <c r="H86" s="2" t="s">
        <v>12495</v>
      </c>
      <c r="I86" s="8">
        <v>4</v>
      </c>
      <c r="J86" s="2" t="s">
        <v>12857</v>
      </c>
      <c r="K86" s="2"/>
      <c r="L86" s="2" t="s">
        <v>12436</v>
      </c>
      <c r="M86" s="2" t="s">
        <v>29</v>
      </c>
      <c r="N86" s="2" t="s">
        <v>3887</v>
      </c>
      <c r="O86" s="2"/>
      <c r="P86" s="2"/>
    </row>
    <row r="87" spans="1:16" ht="13.2" customHeight="1" x14ac:dyDescent="0.25">
      <c r="A87" s="8" t="s">
        <v>10569</v>
      </c>
      <c r="B87" s="2" t="s">
        <v>12858</v>
      </c>
      <c r="C87" s="2"/>
      <c r="D87" s="2" t="s">
        <v>12859</v>
      </c>
      <c r="E87" s="2" t="s">
        <v>12860</v>
      </c>
      <c r="F87" s="2" t="s">
        <v>12861</v>
      </c>
      <c r="G87" s="2" t="s">
        <v>12862</v>
      </c>
      <c r="H87" s="2" t="s">
        <v>12863</v>
      </c>
      <c r="I87" s="8">
        <v>3</v>
      </c>
      <c r="J87" s="2" t="s">
        <v>12864</v>
      </c>
      <c r="K87" s="2"/>
      <c r="L87" s="2" t="s">
        <v>12436</v>
      </c>
      <c r="M87" s="2" t="s">
        <v>29</v>
      </c>
      <c r="N87" s="2" t="s">
        <v>10600</v>
      </c>
      <c r="O87" s="2"/>
      <c r="P87" s="2"/>
    </row>
    <row r="88" spans="1:16" ht="13.2" customHeight="1" x14ac:dyDescent="0.25">
      <c r="A88" s="8" t="s">
        <v>10572</v>
      </c>
      <c r="B88" s="2" t="s">
        <v>12865</v>
      </c>
      <c r="C88" s="2"/>
      <c r="D88" s="2" t="s">
        <v>12866</v>
      </c>
      <c r="E88" s="2" t="s">
        <v>12867</v>
      </c>
      <c r="F88" s="2" t="s">
        <v>12868</v>
      </c>
      <c r="G88" s="2" t="s">
        <v>12869</v>
      </c>
      <c r="H88" s="2" t="s">
        <v>12870</v>
      </c>
      <c r="I88" s="8">
        <v>1</v>
      </c>
      <c r="J88" s="2" t="s">
        <v>12871</v>
      </c>
      <c r="K88" s="2"/>
      <c r="L88" s="2" t="s">
        <v>12436</v>
      </c>
      <c r="M88" s="2" t="s">
        <v>29</v>
      </c>
      <c r="N88" s="2" t="s">
        <v>4140</v>
      </c>
      <c r="O88" s="2"/>
      <c r="P88" s="2"/>
    </row>
    <row r="89" spans="1:16" ht="13.2" customHeight="1" x14ac:dyDescent="0.25">
      <c r="A89">
        <v>93</v>
      </c>
      <c r="B89" t="s">
        <v>12872</v>
      </c>
      <c r="D89" t="s">
        <v>12534</v>
      </c>
      <c r="E89" t="s">
        <v>12501</v>
      </c>
      <c r="F89" t="s">
        <v>12873</v>
      </c>
      <c r="G89" t="s">
        <v>12874</v>
      </c>
      <c r="H89" t="s">
        <v>12875</v>
      </c>
      <c r="I89" t="s">
        <v>84</v>
      </c>
      <c r="J89" t="s">
        <v>12876</v>
      </c>
      <c r="L89" t="s">
        <v>1645</v>
      </c>
      <c r="M89" t="s">
        <v>29</v>
      </c>
      <c r="N89" t="s">
        <v>12877</v>
      </c>
    </row>
    <row r="90" spans="1:16" ht="13.2" customHeight="1" x14ac:dyDescent="0.25">
      <c r="A90">
        <v>94</v>
      </c>
      <c r="B90" t="s">
        <v>12878</v>
      </c>
      <c r="D90" t="s">
        <v>12544</v>
      </c>
      <c r="E90" t="s">
        <v>12624</v>
      </c>
      <c r="F90" t="s">
        <v>12543</v>
      </c>
      <c r="G90" t="s">
        <v>1120</v>
      </c>
      <c r="H90" t="s">
        <v>689</v>
      </c>
      <c r="I90" t="s">
        <v>84</v>
      </c>
      <c r="J90" t="s">
        <v>12879</v>
      </c>
      <c r="L90" t="s">
        <v>1645</v>
      </c>
      <c r="M90" t="s">
        <v>29</v>
      </c>
      <c r="N90" t="s">
        <v>12880</v>
      </c>
    </row>
    <row r="91" spans="1:16" ht="13.2" customHeight="1" x14ac:dyDescent="0.25">
      <c r="A91">
        <v>95</v>
      </c>
      <c r="B91" t="s">
        <v>12881</v>
      </c>
      <c r="D91" t="s">
        <v>12882</v>
      </c>
      <c r="E91" t="s">
        <v>4207</v>
      </c>
      <c r="F91" t="s">
        <v>12776</v>
      </c>
      <c r="G91" t="s">
        <v>12883</v>
      </c>
      <c r="H91" t="s">
        <v>6448</v>
      </c>
      <c r="I91" t="s">
        <v>84</v>
      </c>
      <c r="J91" t="s">
        <v>12884</v>
      </c>
      <c r="L91" t="s">
        <v>1645</v>
      </c>
      <c r="M91" t="s">
        <v>29</v>
      </c>
      <c r="N91" t="s">
        <v>12885</v>
      </c>
    </row>
    <row r="92" spans="1:16" ht="13.2" customHeight="1" x14ac:dyDescent="0.25">
      <c r="A92">
        <v>96</v>
      </c>
      <c r="B92" t="s">
        <v>12886</v>
      </c>
      <c r="D92" t="s">
        <v>12887</v>
      </c>
      <c r="E92" t="s">
        <v>12888</v>
      </c>
      <c r="F92" t="s">
        <v>12889</v>
      </c>
      <c r="G92" t="s">
        <v>12890</v>
      </c>
      <c r="H92" t="s">
        <v>12891</v>
      </c>
      <c r="I92" t="s">
        <v>84</v>
      </c>
      <c r="J92" t="s">
        <v>12892</v>
      </c>
      <c r="L92" t="s">
        <v>1645</v>
      </c>
      <c r="M92" t="s">
        <v>29</v>
      </c>
      <c r="N92" t="s">
        <v>1641</v>
      </c>
    </row>
    <row r="93" spans="1:16" ht="13.2" customHeight="1" x14ac:dyDescent="0.25">
      <c r="A93">
        <v>97</v>
      </c>
      <c r="B93" t="s">
        <v>12893</v>
      </c>
      <c r="D93" t="s">
        <v>12894</v>
      </c>
      <c r="E93" t="s">
        <v>12895</v>
      </c>
      <c r="F93" t="s">
        <v>12896</v>
      </c>
      <c r="G93" t="s">
        <v>1712</v>
      </c>
      <c r="H93" t="s">
        <v>12806</v>
      </c>
      <c r="I93" t="s">
        <v>84</v>
      </c>
      <c r="J93" t="s">
        <v>12897</v>
      </c>
      <c r="L93" t="s">
        <v>1645</v>
      </c>
      <c r="M93" t="s">
        <v>29</v>
      </c>
      <c r="N93" t="s">
        <v>12898</v>
      </c>
    </row>
    <row r="94" spans="1:16" ht="13.2" customHeight="1" x14ac:dyDescent="0.25">
      <c r="A94">
        <v>98</v>
      </c>
      <c r="B94" t="s">
        <v>12899</v>
      </c>
      <c r="D94" t="s">
        <v>12900</v>
      </c>
      <c r="E94" t="s">
        <v>12901</v>
      </c>
      <c r="F94" t="s">
        <v>12902</v>
      </c>
      <c r="G94" t="s">
        <v>6241</v>
      </c>
      <c r="H94" t="s">
        <v>6891</v>
      </c>
      <c r="I94" t="s">
        <v>84</v>
      </c>
      <c r="J94" t="s">
        <v>12903</v>
      </c>
      <c r="L94" t="s">
        <v>1645</v>
      </c>
      <c r="M94" t="s">
        <v>29</v>
      </c>
      <c r="N94" t="s">
        <v>12904</v>
      </c>
    </row>
    <row r="95" spans="1:16" ht="13.2" customHeight="1" x14ac:dyDescent="0.25">
      <c r="A95">
        <v>99</v>
      </c>
      <c r="B95" t="s">
        <v>12905</v>
      </c>
      <c r="D95" t="s">
        <v>12534</v>
      </c>
      <c r="E95" t="s">
        <v>12888</v>
      </c>
      <c r="F95" t="s">
        <v>12906</v>
      </c>
      <c r="G95" t="s">
        <v>12867</v>
      </c>
      <c r="H95" t="s">
        <v>12907</v>
      </c>
      <c r="I95" t="s">
        <v>84</v>
      </c>
      <c r="J95" t="s">
        <v>12908</v>
      </c>
      <c r="L95" t="s">
        <v>1645</v>
      </c>
      <c r="M95" t="s">
        <v>29</v>
      </c>
      <c r="N95" t="s">
        <v>12909</v>
      </c>
    </row>
    <row r="96" spans="1:16" ht="13.2" x14ac:dyDescent="0.25">
      <c r="A96">
        <v>100</v>
      </c>
      <c r="B96" t="s">
        <v>12910</v>
      </c>
      <c r="D96" t="s">
        <v>12911</v>
      </c>
      <c r="E96" t="s">
        <v>12912</v>
      </c>
      <c r="F96" t="s">
        <v>12913</v>
      </c>
      <c r="G96" t="s">
        <v>834</v>
      </c>
      <c r="H96" t="s">
        <v>12806</v>
      </c>
      <c r="I96" t="s">
        <v>84</v>
      </c>
      <c r="J96" t="s">
        <v>12914</v>
      </c>
      <c r="L96" t="s">
        <v>1645</v>
      </c>
      <c r="M96" t="s">
        <v>29</v>
      </c>
      <c r="N96" t="s">
        <v>12915</v>
      </c>
    </row>
    <row r="97" spans="1:14" ht="13.2" x14ac:dyDescent="0.25">
      <c r="A97">
        <v>101</v>
      </c>
      <c r="B97" t="s">
        <v>12916</v>
      </c>
      <c r="D97" t="s">
        <v>12917</v>
      </c>
      <c r="E97" t="s">
        <v>12918</v>
      </c>
      <c r="F97" t="s">
        <v>12919</v>
      </c>
      <c r="G97" t="s">
        <v>12920</v>
      </c>
      <c r="H97" t="s">
        <v>12921</v>
      </c>
      <c r="I97" t="s">
        <v>84</v>
      </c>
      <c r="J97" t="s">
        <v>12922</v>
      </c>
      <c r="L97" t="s">
        <v>1645</v>
      </c>
      <c r="M97" t="s">
        <v>29</v>
      </c>
      <c r="N97" t="s">
        <v>12923</v>
      </c>
    </row>
    <row r="98" spans="1:14" ht="13.2" x14ac:dyDescent="0.25">
      <c r="A98">
        <v>102</v>
      </c>
      <c r="B98" t="s">
        <v>12924</v>
      </c>
      <c r="D98" t="s">
        <v>12925</v>
      </c>
      <c r="E98" t="s">
        <v>12926</v>
      </c>
      <c r="F98" t="s">
        <v>12624</v>
      </c>
      <c r="G98" t="s">
        <v>12542</v>
      </c>
      <c r="H98" t="s">
        <v>1120</v>
      </c>
      <c r="I98" t="s">
        <v>84</v>
      </c>
      <c r="J98" t="s">
        <v>12927</v>
      </c>
      <c r="L98" t="s">
        <v>1645</v>
      </c>
      <c r="M98" t="s">
        <v>29</v>
      </c>
      <c r="N98" t="s">
        <v>12928</v>
      </c>
    </row>
    <row r="99" spans="1:14" ht="13.2" x14ac:dyDescent="0.25">
      <c r="A99">
        <v>103</v>
      </c>
      <c r="B99" t="s">
        <v>12929</v>
      </c>
      <c r="D99" t="s">
        <v>12930</v>
      </c>
      <c r="E99" t="s">
        <v>12931</v>
      </c>
      <c r="F99" t="s">
        <v>12932</v>
      </c>
      <c r="G99" t="s">
        <v>12933</v>
      </c>
      <c r="H99" t="s">
        <v>12934</v>
      </c>
      <c r="I99" t="s">
        <v>123</v>
      </c>
      <c r="J99" t="s">
        <v>12935</v>
      </c>
      <c r="L99" t="s">
        <v>1645</v>
      </c>
      <c r="M99" t="s">
        <v>29</v>
      </c>
      <c r="N99" t="s">
        <v>3606</v>
      </c>
    </row>
    <row r="100" spans="1:14" ht="13.2" x14ac:dyDescent="0.25">
      <c r="A100">
        <v>104</v>
      </c>
      <c r="B100" t="s">
        <v>12936</v>
      </c>
      <c r="D100" t="s">
        <v>12649</v>
      </c>
      <c r="E100" t="s">
        <v>12541</v>
      </c>
      <c r="F100" t="s">
        <v>12543</v>
      </c>
      <c r="G100" t="s">
        <v>12937</v>
      </c>
      <c r="H100" t="s">
        <v>12938</v>
      </c>
      <c r="I100" t="s">
        <v>113</v>
      </c>
      <c r="J100" t="s">
        <v>12939</v>
      </c>
      <c r="L100" t="s">
        <v>1645</v>
      </c>
      <c r="M100" t="s">
        <v>29</v>
      </c>
      <c r="N100" t="s">
        <v>3642</v>
      </c>
    </row>
    <row r="101" spans="1:14" ht="13.2" x14ac:dyDescent="0.25">
      <c r="A101">
        <v>105</v>
      </c>
      <c r="B101" t="s">
        <v>12940</v>
      </c>
      <c r="D101" t="s">
        <v>12941</v>
      </c>
      <c r="E101" t="s">
        <v>12942</v>
      </c>
      <c r="F101" t="s">
        <v>12943</v>
      </c>
      <c r="G101" t="s">
        <v>12944</v>
      </c>
      <c r="H101" t="s">
        <v>12945</v>
      </c>
      <c r="I101" t="s">
        <v>96</v>
      </c>
      <c r="J101" t="s">
        <v>12946</v>
      </c>
      <c r="L101" t="s">
        <v>1645</v>
      </c>
      <c r="M101" t="s">
        <v>29</v>
      </c>
      <c r="N101" t="s">
        <v>3650</v>
      </c>
    </row>
    <row r="102" spans="1:14" ht="13.2" x14ac:dyDescent="0.25">
      <c r="A102">
        <v>106</v>
      </c>
      <c r="B102" t="s">
        <v>12947</v>
      </c>
      <c r="D102" t="s">
        <v>12948</v>
      </c>
      <c r="E102" t="s">
        <v>12949</v>
      </c>
      <c r="F102" t="s">
        <v>12950</v>
      </c>
      <c r="G102" t="s">
        <v>12951</v>
      </c>
      <c r="H102" t="s">
        <v>12952</v>
      </c>
      <c r="I102" t="s">
        <v>113</v>
      </c>
      <c r="J102" t="s">
        <v>12953</v>
      </c>
      <c r="L102" t="s">
        <v>1645</v>
      </c>
      <c r="M102" t="s">
        <v>29</v>
      </c>
      <c r="N102" t="s">
        <v>2685</v>
      </c>
    </row>
    <row r="103" spans="1:14" ht="13.2" x14ac:dyDescent="0.25">
      <c r="A103">
        <v>107</v>
      </c>
      <c r="B103" t="s">
        <v>12954</v>
      </c>
      <c r="D103" t="s">
        <v>6241</v>
      </c>
      <c r="E103" t="s">
        <v>6242</v>
      </c>
      <c r="F103" t="s">
        <v>12955</v>
      </c>
      <c r="G103" t="s">
        <v>10166</v>
      </c>
      <c r="H103" t="s">
        <v>5632</v>
      </c>
      <c r="I103" t="s">
        <v>113</v>
      </c>
      <c r="J103" t="s">
        <v>12956</v>
      </c>
      <c r="L103" t="s">
        <v>1645</v>
      </c>
      <c r="M103" t="s">
        <v>29</v>
      </c>
      <c r="N103" t="s">
        <v>5218</v>
      </c>
    </row>
    <row r="104" spans="1:14" ht="13.2" x14ac:dyDescent="0.25">
      <c r="A104">
        <v>108</v>
      </c>
      <c r="B104" t="s">
        <v>12957</v>
      </c>
      <c r="D104" t="s">
        <v>12958</v>
      </c>
      <c r="E104" t="s">
        <v>12959</v>
      </c>
      <c r="F104" t="s">
        <v>12960</v>
      </c>
      <c r="G104" t="s">
        <v>12961</v>
      </c>
      <c r="H104" t="s">
        <v>12962</v>
      </c>
      <c r="I104" t="s">
        <v>84</v>
      </c>
      <c r="J104" t="s">
        <v>12963</v>
      </c>
      <c r="L104" t="s">
        <v>1645</v>
      </c>
      <c r="M104" t="s">
        <v>29</v>
      </c>
      <c r="N104" t="s">
        <v>10589</v>
      </c>
    </row>
  </sheetData>
  <mergeCells count="1">
    <mergeCell ref="A1:F1"/>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Q73"/>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3" t="s">
        <v>10</v>
      </c>
      <c r="B2" s="3" t="s">
        <v>11</v>
      </c>
      <c r="C2" s="3" t="s">
        <v>12</v>
      </c>
      <c r="D2" s="3" t="s">
        <v>13</v>
      </c>
      <c r="E2" s="3" t="s">
        <v>14</v>
      </c>
      <c r="F2" s="3" t="s">
        <v>15</v>
      </c>
      <c r="G2" s="3" t="s">
        <v>16</v>
      </c>
      <c r="H2" s="3" t="s">
        <v>17</v>
      </c>
      <c r="I2" s="3" t="s">
        <v>154</v>
      </c>
      <c r="J2" s="3" t="s">
        <v>19</v>
      </c>
      <c r="K2" s="3" t="s">
        <v>20</v>
      </c>
      <c r="L2" s="3" t="s">
        <v>81</v>
      </c>
      <c r="M2" s="3" t="s">
        <v>155</v>
      </c>
      <c r="N2" s="3" t="s">
        <v>23</v>
      </c>
      <c r="O2" s="2" t="s">
        <v>24</v>
      </c>
      <c r="P2" s="2" t="s">
        <v>25</v>
      </c>
    </row>
    <row r="3" spans="1:16" ht="13.2" customHeight="1" x14ac:dyDescent="0.25">
      <c r="A3" s="8" t="s">
        <v>84</v>
      </c>
      <c r="B3" s="2" t="s">
        <v>12964</v>
      </c>
      <c r="C3" s="2"/>
      <c r="D3" s="2" t="s">
        <v>12965</v>
      </c>
      <c r="E3" s="2" t="s">
        <v>12966</v>
      </c>
      <c r="F3" s="2" t="s">
        <v>12967</v>
      </c>
      <c r="G3" s="2" t="s">
        <v>6565</v>
      </c>
      <c r="H3" s="2" t="s">
        <v>12968</v>
      </c>
      <c r="I3" s="8">
        <v>3</v>
      </c>
      <c r="J3" s="2" t="s">
        <v>12969</v>
      </c>
      <c r="K3" s="2"/>
      <c r="L3" s="2" t="s">
        <v>12970</v>
      </c>
      <c r="M3" s="2" t="s">
        <v>29</v>
      </c>
      <c r="N3" s="2" t="s">
        <v>1685</v>
      </c>
      <c r="O3" s="2"/>
      <c r="P3" s="2"/>
    </row>
    <row r="4" spans="1:16" ht="13.2" customHeight="1" x14ac:dyDescent="0.25">
      <c r="A4" s="8" t="s">
        <v>96</v>
      </c>
      <c r="B4" s="2" t="s">
        <v>12971</v>
      </c>
      <c r="C4" s="2"/>
      <c r="D4" s="2" t="s">
        <v>12972</v>
      </c>
      <c r="E4" s="2" t="s">
        <v>5086</v>
      </c>
      <c r="F4" s="2" t="s">
        <v>2392</v>
      </c>
      <c r="G4" s="2" t="s">
        <v>12973</v>
      </c>
      <c r="H4" s="2" t="s">
        <v>12974</v>
      </c>
      <c r="I4" s="8">
        <v>3</v>
      </c>
      <c r="J4" s="2" t="s">
        <v>12975</v>
      </c>
      <c r="K4" s="2"/>
      <c r="L4" s="2" t="s">
        <v>12970</v>
      </c>
      <c r="M4" s="2" t="s">
        <v>29</v>
      </c>
      <c r="N4" s="2" t="s">
        <v>672</v>
      </c>
      <c r="O4" s="2"/>
      <c r="P4" s="2"/>
    </row>
    <row r="5" spans="1:16" ht="13.2" customHeight="1" x14ac:dyDescent="0.25">
      <c r="A5" s="8" t="s">
        <v>90</v>
      </c>
      <c r="B5" s="2" t="s">
        <v>12976</v>
      </c>
      <c r="C5" s="2"/>
      <c r="D5" s="2" t="s">
        <v>3390</v>
      </c>
      <c r="E5" s="2" t="s">
        <v>2152</v>
      </c>
      <c r="F5" s="2" t="s">
        <v>331</v>
      </c>
      <c r="G5" s="2" t="s">
        <v>12977</v>
      </c>
      <c r="H5" s="2" t="s">
        <v>2363</v>
      </c>
      <c r="I5" s="8">
        <v>3</v>
      </c>
      <c r="J5" s="2" t="s">
        <v>12978</v>
      </c>
      <c r="K5" s="2"/>
      <c r="L5" s="2" t="s">
        <v>12970</v>
      </c>
      <c r="M5" s="2" t="s">
        <v>29</v>
      </c>
      <c r="N5" s="2" t="s">
        <v>677</v>
      </c>
      <c r="O5" s="2"/>
      <c r="P5" s="2"/>
    </row>
    <row r="6" spans="1:16" ht="13.2" customHeight="1" x14ac:dyDescent="0.25">
      <c r="A6" s="8" t="s">
        <v>113</v>
      </c>
      <c r="B6" s="2" t="s">
        <v>12979</v>
      </c>
      <c r="C6" s="2"/>
      <c r="D6" s="2" t="s">
        <v>12980</v>
      </c>
      <c r="E6" s="2" t="s">
        <v>12981</v>
      </c>
      <c r="F6" s="2" t="s">
        <v>12982</v>
      </c>
      <c r="G6" s="2" t="s">
        <v>12983</v>
      </c>
      <c r="H6" s="2" t="s">
        <v>12984</v>
      </c>
      <c r="I6" s="8">
        <v>2</v>
      </c>
      <c r="J6" s="2" t="s">
        <v>12985</v>
      </c>
      <c r="K6" s="2"/>
      <c r="L6" s="2" t="s">
        <v>12970</v>
      </c>
      <c r="M6" s="2" t="s">
        <v>29</v>
      </c>
      <c r="N6" s="2" t="s">
        <v>9323</v>
      </c>
      <c r="O6" s="2"/>
      <c r="P6" s="2"/>
    </row>
    <row r="7" spans="1:16" ht="13.2" customHeight="1" x14ac:dyDescent="0.25">
      <c r="A7" s="8" t="s">
        <v>123</v>
      </c>
      <c r="B7" s="2" t="s">
        <v>12986</v>
      </c>
      <c r="C7" s="2"/>
      <c r="D7" s="2" t="s">
        <v>624</v>
      </c>
      <c r="E7" s="2" t="s">
        <v>6430</v>
      </c>
      <c r="F7" s="2" t="s">
        <v>12987</v>
      </c>
      <c r="G7" s="2" t="s">
        <v>12988</v>
      </c>
      <c r="H7" s="2" t="s">
        <v>12989</v>
      </c>
      <c r="I7" s="8">
        <v>2</v>
      </c>
      <c r="J7" s="2" t="s">
        <v>12990</v>
      </c>
      <c r="K7" s="2"/>
      <c r="L7" s="2" t="s">
        <v>12991</v>
      </c>
      <c r="M7" s="2" t="s">
        <v>29</v>
      </c>
      <c r="N7" s="2" t="s">
        <v>6478</v>
      </c>
      <c r="O7" s="2"/>
      <c r="P7" s="2"/>
    </row>
    <row r="8" spans="1:16" ht="13.2" customHeight="1" x14ac:dyDescent="0.25">
      <c r="A8" s="8" t="s">
        <v>132</v>
      </c>
      <c r="B8" s="2" t="s">
        <v>12992</v>
      </c>
      <c r="C8" s="2"/>
      <c r="D8" s="2" t="s">
        <v>12993</v>
      </c>
      <c r="E8" s="2" t="s">
        <v>12994</v>
      </c>
      <c r="F8" s="2" t="s">
        <v>12995</v>
      </c>
      <c r="G8" s="2" t="s">
        <v>2252</v>
      </c>
      <c r="H8" s="2" t="s">
        <v>12996</v>
      </c>
      <c r="I8" s="8">
        <v>3</v>
      </c>
      <c r="J8" s="2" t="s">
        <v>12997</v>
      </c>
      <c r="K8" s="2"/>
      <c r="L8" s="2" t="s">
        <v>12970</v>
      </c>
      <c r="M8" s="2" t="s">
        <v>29</v>
      </c>
      <c r="N8" s="2" t="s">
        <v>8195</v>
      </c>
      <c r="O8" s="2"/>
      <c r="P8" s="2"/>
    </row>
    <row r="9" spans="1:16" ht="13.2" customHeight="1" x14ac:dyDescent="0.25">
      <c r="A9" s="8" t="s">
        <v>10084</v>
      </c>
      <c r="B9" s="2" t="s">
        <v>12998</v>
      </c>
      <c r="C9" s="2"/>
      <c r="D9" s="2" t="s">
        <v>12999</v>
      </c>
      <c r="E9" s="2" t="s">
        <v>13000</v>
      </c>
      <c r="F9" s="2" t="s">
        <v>13001</v>
      </c>
      <c r="G9" s="2" t="s">
        <v>13002</v>
      </c>
      <c r="H9" s="2" t="s">
        <v>13003</v>
      </c>
      <c r="I9" s="8">
        <v>4</v>
      </c>
      <c r="J9" s="2" t="s">
        <v>13004</v>
      </c>
      <c r="K9" s="2"/>
      <c r="L9" s="2" t="s">
        <v>12970</v>
      </c>
      <c r="M9" s="2" t="s">
        <v>29</v>
      </c>
      <c r="N9" s="2" t="s">
        <v>707</v>
      </c>
      <c r="O9" s="2"/>
      <c r="P9" s="2"/>
    </row>
    <row r="10" spans="1:16" ht="13.2" customHeight="1" x14ac:dyDescent="0.25">
      <c r="A10" s="8" t="s">
        <v>10093</v>
      </c>
      <c r="B10" s="2" t="s">
        <v>13005</v>
      </c>
      <c r="C10" s="2"/>
      <c r="D10" s="2" t="s">
        <v>13006</v>
      </c>
      <c r="E10" s="2" t="s">
        <v>13007</v>
      </c>
      <c r="F10" s="2" t="s">
        <v>13008</v>
      </c>
      <c r="G10" s="2" t="s">
        <v>13009</v>
      </c>
      <c r="H10" s="2" t="s">
        <v>13010</v>
      </c>
      <c r="I10" s="8">
        <v>1</v>
      </c>
      <c r="J10" s="2" t="s">
        <v>13011</v>
      </c>
      <c r="K10" s="2"/>
      <c r="L10" s="2" t="s">
        <v>12970</v>
      </c>
      <c r="M10" s="2" t="s">
        <v>29</v>
      </c>
      <c r="N10" s="2" t="s">
        <v>6495</v>
      </c>
      <c r="O10" s="2"/>
      <c r="P10" s="2"/>
    </row>
    <row r="11" spans="1:16" ht="13.2" customHeight="1" x14ac:dyDescent="0.25">
      <c r="A11" s="8" t="s">
        <v>10102</v>
      </c>
      <c r="B11" s="2" t="s">
        <v>13012</v>
      </c>
      <c r="C11" s="2"/>
      <c r="D11" s="2" t="s">
        <v>5236</v>
      </c>
      <c r="E11" s="2" t="s">
        <v>13013</v>
      </c>
      <c r="F11" s="2" t="s">
        <v>13014</v>
      </c>
      <c r="G11" s="2" t="s">
        <v>13015</v>
      </c>
      <c r="H11" s="2" t="s">
        <v>13016</v>
      </c>
      <c r="I11" s="8">
        <v>2</v>
      </c>
      <c r="J11" s="2" t="s">
        <v>13017</v>
      </c>
      <c r="K11" s="2"/>
      <c r="L11" s="2" t="s">
        <v>12970</v>
      </c>
      <c r="M11" s="2" t="s">
        <v>29</v>
      </c>
      <c r="N11" s="2" t="s">
        <v>13018</v>
      </c>
      <c r="O11" s="2"/>
      <c r="P11" s="2"/>
    </row>
    <row r="12" spans="1:16" ht="13.2" customHeight="1" x14ac:dyDescent="0.25">
      <c r="A12" s="8" t="s">
        <v>10111</v>
      </c>
      <c r="B12" s="2" t="s">
        <v>13019</v>
      </c>
      <c r="C12" s="2"/>
      <c r="D12" s="2" t="s">
        <v>13020</v>
      </c>
      <c r="E12" s="2" t="s">
        <v>13021</v>
      </c>
      <c r="F12" s="2" t="s">
        <v>13022</v>
      </c>
      <c r="G12" s="2" t="s">
        <v>13023</v>
      </c>
      <c r="H12" s="2" t="s">
        <v>13024</v>
      </c>
      <c r="I12" s="8">
        <v>2</v>
      </c>
      <c r="J12" s="2" t="s">
        <v>13025</v>
      </c>
      <c r="K12" s="2"/>
      <c r="L12" s="2" t="s">
        <v>12991</v>
      </c>
      <c r="M12" s="2" t="s">
        <v>29</v>
      </c>
      <c r="N12" s="2" t="s">
        <v>2787</v>
      </c>
      <c r="O12" s="2"/>
      <c r="P12" s="2"/>
    </row>
    <row r="13" spans="1:16" ht="13.2" customHeight="1" x14ac:dyDescent="0.25">
      <c r="A13" s="8" t="s">
        <v>10119</v>
      </c>
      <c r="B13" s="2" t="s">
        <v>13026</v>
      </c>
      <c r="C13" s="2"/>
      <c r="D13" s="2" t="s">
        <v>13027</v>
      </c>
      <c r="E13" s="2" t="s">
        <v>5498</v>
      </c>
      <c r="F13" s="2" t="s">
        <v>13028</v>
      </c>
      <c r="G13" s="2" t="s">
        <v>13029</v>
      </c>
      <c r="H13" s="2" t="s">
        <v>13030</v>
      </c>
      <c r="I13" s="8">
        <v>3</v>
      </c>
      <c r="J13" s="2" t="s">
        <v>13031</v>
      </c>
      <c r="K13" s="2"/>
      <c r="L13" s="2" t="s">
        <v>12970</v>
      </c>
      <c r="M13" s="2" t="s">
        <v>29</v>
      </c>
      <c r="N13" s="2" t="s">
        <v>735</v>
      </c>
      <c r="O13" s="2"/>
      <c r="P13" s="2"/>
    </row>
    <row r="14" spans="1:16" ht="13.2" customHeight="1" x14ac:dyDescent="0.25">
      <c r="A14" s="8" t="s">
        <v>10123</v>
      </c>
      <c r="B14" s="2" t="s">
        <v>13032</v>
      </c>
      <c r="C14" s="2"/>
      <c r="D14" s="2" t="s">
        <v>13033</v>
      </c>
      <c r="E14" s="2" t="s">
        <v>1215</v>
      </c>
      <c r="F14" s="2" t="s">
        <v>737</v>
      </c>
      <c r="G14" s="2" t="s">
        <v>1133</v>
      </c>
      <c r="H14" s="2" t="s">
        <v>13034</v>
      </c>
      <c r="I14" s="8">
        <v>2</v>
      </c>
      <c r="J14" s="2" t="s">
        <v>13035</v>
      </c>
      <c r="K14" s="2"/>
      <c r="L14" s="2" t="s">
        <v>12970</v>
      </c>
      <c r="M14" s="2" t="s">
        <v>29</v>
      </c>
      <c r="N14" s="2" t="s">
        <v>5308</v>
      </c>
      <c r="O14" s="2"/>
      <c r="P14" s="2"/>
    </row>
    <row r="15" spans="1:16" ht="13.2" customHeight="1" x14ac:dyDescent="0.25">
      <c r="A15" s="8" t="s">
        <v>10130</v>
      </c>
      <c r="B15" s="2" t="s">
        <v>13036</v>
      </c>
      <c r="C15" s="2"/>
      <c r="D15" s="2" t="s">
        <v>674</v>
      </c>
      <c r="E15" s="2" t="s">
        <v>1125</v>
      </c>
      <c r="F15" s="2" t="s">
        <v>13037</v>
      </c>
      <c r="G15" s="2" t="s">
        <v>1132</v>
      </c>
      <c r="H15" s="2" t="s">
        <v>13038</v>
      </c>
      <c r="I15" s="8">
        <v>4</v>
      </c>
      <c r="J15" s="2" t="s">
        <v>13039</v>
      </c>
      <c r="K15" s="2"/>
      <c r="L15" s="2" t="s">
        <v>12970</v>
      </c>
      <c r="M15" s="2" t="s">
        <v>29</v>
      </c>
      <c r="N15" s="2" t="s">
        <v>13040</v>
      </c>
      <c r="O15" s="2"/>
      <c r="P15" s="2"/>
    </row>
    <row r="16" spans="1:16" ht="13.2" customHeight="1" x14ac:dyDescent="0.25">
      <c r="A16" s="8" t="s">
        <v>10137</v>
      </c>
      <c r="B16" s="2" t="s">
        <v>13041</v>
      </c>
      <c r="C16" s="2"/>
      <c r="D16" s="2" t="s">
        <v>13042</v>
      </c>
      <c r="E16" s="2" t="s">
        <v>13043</v>
      </c>
      <c r="F16" s="2" t="s">
        <v>13044</v>
      </c>
      <c r="G16" s="2" t="s">
        <v>13045</v>
      </c>
      <c r="H16" s="2" t="s">
        <v>13046</v>
      </c>
      <c r="I16" s="8">
        <v>4</v>
      </c>
      <c r="J16" s="2" t="s">
        <v>13047</v>
      </c>
      <c r="K16" s="2"/>
      <c r="L16" s="2" t="s">
        <v>12970</v>
      </c>
      <c r="M16" s="2" t="s">
        <v>29</v>
      </c>
      <c r="N16" s="2" t="s">
        <v>1780</v>
      </c>
      <c r="O16" s="2"/>
      <c r="P16" s="2"/>
    </row>
    <row r="17" spans="1:17" ht="13.2" customHeight="1" x14ac:dyDescent="0.25">
      <c r="A17" s="8" t="s">
        <v>10142</v>
      </c>
      <c r="B17" s="2" t="s">
        <v>13048</v>
      </c>
      <c r="C17" s="2"/>
      <c r="D17" s="2" t="s">
        <v>4195</v>
      </c>
      <c r="E17" s="2" t="s">
        <v>13049</v>
      </c>
      <c r="F17" s="2" t="s">
        <v>1887</v>
      </c>
      <c r="G17" s="2" t="s">
        <v>13050</v>
      </c>
      <c r="H17" s="2" t="s">
        <v>13051</v>
      </c>
      <c r="I17" s="8">
        <v>3</v>
      </c>
      <c r="J17" s="2" t="s">
        <v>13052</v>
      </c>
      <c r="K17" s="2"/>
      <c r="L17" s="2" t="s">
        <v>12970</v>
      </c>
      <c r="M17" s="2" t="s">
        <v>29</v>
      </c>
      <c r="N17" s="2" t="s">
        <v>757</v>
      </c>
      <c r="O17" s="2"/>
      <c r="P17" s="2"/>
    </row>
    <row r="18" spans="1:17" ht="13.2" customHeight="1" x14ac:dyDescent="0.25">
      <c r="A18" s="8" t="s">
        <v>10146</v>
      </c>
      <c r="B18" s="2" t="s">
        <v>13053</v>
      </c>
      <c r="C18" s="2"/>
      <c r="D18" s="2" t="s">
        <v>13054</v>
      </c>
      <c r="E18" s="2" t="s">
        <v>13055</v>
      </c>
      <c r="F18" s="2" t="s">
        <v>13056</v>
      </c>
      <c r="G18" s="2" t="s">
        <v>13057</v>
      </c>
      <c r="H18" s="2" t="s">
        <v>13058</v>
      </c>
      <c r="I18" s="8">
        <v>2</v>
      </c>
      <c r="J18" s="2" t="s">
        <v>13059</v>
      </c>
      <c r="K18" s="2"/>
      <c r="L18" s="2" t="s">
        <v>12970</v>
      </c>
      <c r="M18" s="2" t="s">
        <v>29</v>
      </c>
      <c r="N18" s="2" t="s">
        <v>765</v>
      </c>
      <c r="O18" s="2"/>
      <c r="P18" s="2"/>
    </row>
    <row r="19" spans="1:17" ht="13.2" customHeight="1" x14ac:dyDescent="0.25">
      <c r="A19" s="8" t="s">
        <v>10154</v>
      </c>
      <c r="B19" s="2" t="s">
        <v>13060</v>
      </c>
      <c r="C19" s="2"/>
      <c r="D19" s="2" t="s">
        <v>1960</v>
      </c>
      <c r="E19" s="2" t="s">
        <v>740</v>
      </c>
      <c r="F19" s="2" t="s">
        <v>733</v>
      </c>
      <c r="G19" s="2" t="s">
        <v>1962</v>
      </c>
      <c r="H19" s="2" t="s">
        <v>13061</v>
      </c>
      <c r="I19" s="8">
        <v>2</v>
      </c>
      <c r="J19" s="2" t="s">
        <v>13062</v>
      </c>
      <c r="K19" s="2"/>
      <c r="L19" s="2" t="s">
        <v>12970</v>
      </c>
      <c r="M19" s="2" t="s">
        <v>29</v>
      </c>
      <c r="N19" s="2" t="s">
        <v>12286</v>
      </c>
      <c r="O19" s="2"/>
      <c r="P19" s="2"/>
    </row>
    <row r="20" spans="1:17" ht="13.2" customHeight="1" x14ac:dyDescent="0.25">
      <c r="A20" s="8" t="s">
        <v>10162</v>
      </c>
      <c r="B20" s="2" t="s">
        <v>13063</v>
      </c>
      <c r="C20" s="2"/>
      <c r="D20" s="2" t="s">
        <v>13064</v>
      </c>
      <c r="E20" s="2" t="s">
        <v>6528</v>
      </c>
      <c r="F20" s="2" t="s">
        <v>2254</v>
      </c>
      <c r="G20" s="2" t="s">
        <v>13065</v>
      </c>
      <c r="H20" s="2" t="s">
        <v>542</v>
      </c>
      <c r="I20" s="8">
        <v>1</v>
      </c>
      <c r="J20" s="2" t="s">
        <v>13066</v>
      </c>
      <c r="K20" s="2"/>
      <c r="L20" s="2" t="s">
        <v>12970</v>
      </c>
      <c r="M20" s="2" t="s">
        <v>29</v>
      </c>
      <c r="N20" s="2" t="s">
        <v>1808</v>
      </c>
      <c r="O20" s="2"/>
      <c r="P20" s="2"/>
    </row>
    <row r="21" spans="1:17" ht="13.2" customHeight="1" x14ac:dyDescent="0.25">
      <c r="A21" s="8" t="s">
        <v>10169</v>
      </c>
      <c r="B21" s="2" t="s">
        <v>13067</v>
      </c>
      <c r="C21" s="2"/>
      <c r="D21" s="2" t="s">
        <v>1889</v>
      </c>
      <c r="E21" s="2" t="s">
        <v>531</v>
      </c>
      <c r="F21" s="2" t="s">
        <v>13068</v>
      </c>
      <c r="G21" s="2" t="s">
        <v>2663</v>
      </c>
      <c r="H21" s="2" t="s">
        <v>13069</v>
      </c>
      <c r="I21" s="8">
        <v>4</v>
      </c>
      <c r="J21" s="2" t="s">
        <v>13070</v>
      </c>
      <c r="K21" s="2"/>
      <c r="L21" s="2" t="s">
        <v>12991</v>
      </c>
      <c r="M21" s="2" t="s">
        <v>29</v>
      </c>
      <c r="N21" s="2" t="s">
        <v>13071</v>
      </c>
      <c r="O21" s="2"/>
      <c r="P21" s="2"/>
    </row>
    <row r="22" spans="1:17" ht="13.2" customHeight="1" x14ac:dyDescent="0.25">
      <c r="A22" s="8" t="s">
        <v>10177</v>
      </c>
      <c r="B22" s="2" t="s">
        <v>13072</v>
      </c>
      <c r="C22" s="2"/>
      <c r="D22" s="2" t="s">
        <v>13073</v>
      </c>
      <c r="E22" s="2" t="s">
        <v>13074</v>
      </c>
      <c r="F22" s="2" t="s">
        <v>13075</v>
      </c>
      <c r="G22" s="2" t="s">
        <v>13076</v>
      </c>
      <c r="H22" s="2" t="s">
        <v>13077</v>
      </c>
      <c r="I22" s="8">
        <v>1</v>
      </c>
      <c r="J22" s="2" t="s">
        <v>13078</v>
      </c>
      <c r="K22" s="2"/>
      <c r="L22" s="2" t="s">
        <v>12970</v>
      </c>
      <c r="M22" s="2" t="s">
        <v>29</v>
      </c>
      <c r="N22" s="2" t="s">
        <v>2862</v>
      </c>
      <c r="O22" s="2"/>
      <c r="P22" s="2"/>
    </row>
    <row r="23" spans="1:17" ht="13.2" customHeight="1" x14ac:dyDescent="0.25">
      <c r="A23" s="8" t="s">
        <v>10183</v>
      </c>
      <c r="B23" s="2" t="s">
        <v>13079</v>
      </c>
      <c r="C23" s="2"/>
      <c r="D23" s="2" t="s">
        <v>738</v>
      </c>
      <c r="E23" s="2" t="s">
        <v>13080</v>
      </c>
      <c r="F23" s="2" t="s">
        <v>331</v>
      </c>
      <c r="G23" s="2" t="s">
        <v>5064</v>
      </c>
      <c r="H23" s="2" t="s">
        <v>13081</v>
      </c>
      <c r="I23" s="8">
        <v>3</v>
      </c>
      <c r="J23" s="2" t="s">
        <v>13082</v>
      </c>
      <c r="K23" s="2"/>
      <c r="L23" s="2" t="s">
        <v>12970</v>
      </c>
      <c r="M23" s="2" t="s">
        <v>29</v>
      </c>
      <c r="N23" s="2" t="s">
        <v>8493</v>
      </c>
      <c r="O23" s="2"/>
      <c r="P23" s="2"/>
    </row>
    <row r="24" spans="1:17" ht="13.2" customHeight="1" x14ac:dyDescent="0.25">
      <c r="A24" s="8" t="s">
        <v>10189</v>
      </c>
      <c r="B24" s="2" t="s">
        <v>13083</v>
      </c>
      <c r="C24" s="2"/>
      <c r="D24" s="2" t="s">
        <v>13084</v>
      </c>
      <c r="E24" s="2" t="s">
        <v>13085</v>
      </c>
      <c r="F24" s="2" t="s">
        <v>13086</v>
      </c>
      <c r="G24" s="2" t="s">
        <v>13087</v>
      </c>
      <c r="H24" s="2" t="s">
        <v>13088</v>
      </c>
      <c r="I24" s="8">
        <v>4</v>
      </c>
      <c r="J24" s="2" t="s">
        <v>13089</v>
      </c>
      <c r="K24" s="2"/>
      <c r="L24" s="2" t="s">
        <v>12970</v>
      </c>
      <c r="M24" s="2" t="s">
        <v>29</v>
      </c>
      <c r="N24" s="2" t="s">
        <v>8501</v>
      </c>
      <c r="O24" s="2"/>
      <c r="P24" s="2"/>
    </row>
    <row r="25" spans="1:17" ht="13.2" customHeight="1" x14ac:dyDescent="0.25">
      <c r="A25" s="8" t="s">
        <v>10197</v>
      </c>
      <c r="B25" s="2" t="s">
        <v>13090</v>
      </c>
      <c r="C25" s="2"/>
      <c r="D25" s="2" t="s">
        <v>13091</v>
      </c>
      <c r="E25" s="2" t="s">
        <v>13092</v>
      </c>
      <c r="F25" s="2" t="s">
        <v>13093</v>
      </c>
      <c r="G25" s="2" t="s">
        <v>13094</v>
      </c>
      <c r="H25" s="2" t="s">
        <v>13095</v>
      </c>
      <c r="I25" s="8">
        <v>5</v>
      </c>
      <c r="J25" s="2" t="s">
        <v>13096</v>
      </c>
      <c r="K25" s="2"/>
      <c r="L25" s="2" t="s">
        <v>12970</v>
      </c>
      <c r="M25" s="2" t="s">
        <v>29</v>
      </c>
      <c r="N25" s="2" t="s">
        <v>807</v>
      </c>
      <c r="O25" s="2"/>
      <c r="P25" s="2"/>
    </row>
    <row r="26" spans="1:17" ht="13.2" customHeight="1" x14ac:dyDescent="0.25">
      <c r="A26" s="8" t="s">
        <v>10207</v>
      </c>
      <c r="B26" s="2" t="s">
        <v>13097</v>
      </c>
      <c r="C26" s="2"/>
      <c r="D26" s="2" t="s">
        <v>10075</v>
      </c>
      <c r="E26" s="2" t="s">
        <v>13098</v>
      </c>
      <c r="F26" s="2" t="s">
        <v>13099</v>
      </c>
      <c r="G26" s="2" t="s">
        <v>13100</v>
      </c>
      <c r="H26" s="2" t="s">
        <v>13101</v>
      </c>
      <c r="I26" s="8">
        <v>5</v>
      </c>
      <c r="J26" s="2" t="s">
        <v>13102</v>
      </c>
      <c r="K26" s="2"/>
      <c r="L26" s="2" t="s">
        <v>12970</v>
      </c>
      <c r="M26" s="2" t="s">
        <v>29</v>
      </c>
      <c r="N26" s="2" t="s">
        <v>7159</v>
      </c>
      <c r="O26" s="2"/>
      <c r="P26" s="2"/>
    </row>
    <row r="27" spans="1:17" ht="13.2" customHeight="1" x14ac:dyDescent="0.25">
      <c r="A27" s="8" t="s">
        <v>10214</v>
      </c>
      <c r="B27" s="2" t="s">
        <v>13103</v>
      </c>
      <c r="C27" s="2"/>
      <c r="D27" s="2" t="s">
        <v>738</v>
      </c>
      <c r="E27" s="2" t="s">
        <v>2152</v>
      </c>
      <c r="F27" s="2" t="s">
        <v>13104</v>
      </c>
      <c r="G27" s="2" t="s">
        <v>331</v>
      </c>
      <c r="H27" s="2" t="s">
        <v>12977</v>
      </c>
      <c r="I27" s="8">
        <v>4</v>
      </c>
      <c r="J27" s="2" t="s">
        <v>13105</v>
      </c>
      <c r="K27" s="2"/>
      <c r="L27" s="2" t="s">
        <v>12970</v>
      </c>
      <c r="M27" s="2" t="s">
        <v>29</v>
      </c>
      <c r="N27" s="2" t="s">
        <v>825</v>
      </c>
      <c r="O27" s="2"/>
      <c r="P27" s="2"/>
    </row>
    <row r="28" spans="1:17" ht="13.2" customHeight="1" x14ac:dyDescent="0.25">
      <c r="A28" s="8" t="s">
        <v>10222</v>
      </c>
      <c r="B28" s="2" t="s">
        <v>13106</v>
      </c>
      <c r="C28" s="2"/>
      <c r="D28" s="2" t="s">
        <v>13068</v>
      </c>
      <c r="E28" s="2" t="s">
        <v>531</v>
      </c>
      <c r="F28" s="2" t="s">
        <v>2663</v>
      </c>
      <c r="G28" s="2" t="s">
        <v>532</v>
      </c>
      <c r="H28" s="2" t="s">
        <v>6972</v>
      </c>
      <c r="I28" s="8">
        <v>1</v>
      </c>
      <c r="J28" s="2" t="s">
        <v>13107</v>
      </c>
      <c r="K28" s="2"/>
      <c r="L28" s="2" t="s">
        <v>12970</v>
      </c>
      <c r="M28" s="2" t="s">
        <v>29</v>
      </c>
      <c r="N28" s="2" t="s">
        <v>13108</v>
      </c>
      <c r="O28" s="2"/>
      <c r="P28" s="2"/>
    </row>
    <row r="29" spans="1:17" ht="13.2" customHeight="1" x14ac:dyDescent="0.25">
      <c r="A29" s="8" t="s">
        <v>10238</v>
      </c>
      <c r="B29" s="2" t="s">
        <v>13109</v>
      </c>
      <c r="C29" s="2"/>
      <c r="D29" s="2" t="s">
        <v>13110</v>
      </c>
      <c r="E29" s="2" t="s">
        <v>13111</v>
      </c>
      <c r="F29" s="2" t="s">
        <v>13112</v>
      </c>
      <c r="G29" s="2" t="s">
        <v>13113</v>
      </c>
      <c r="H29" s="2" t="s">
        <v>13114</v>
      </c>
      <c r="I29" s="8">
        <v>3</v>
      </c>
      <c r="J29" s="2" t="s">
        <v>13115</v>
      </c>
      <c r="K29" s="2"/>
      <c r="L29" s="2" t="s">
        <v>12970</v>
      </c>
      <c r="M29" s="2" t="s">
        <v>13116</v>
      </c>
      <c r="N29" s="2" t="s">
        <v>13117</v>
      </c>
      <c r="O29" s="2"/>
      <c r="P29" s="2"/>
      <c r="Q29" s="2"/>
    </row>
    <row r="30" spans="1:17" ht="13.2" customHeight="1" x14ac:dyDescent="0.25">
      <c r="A30" s="8" t="s">
        <v>10246</v>
      </c>
      <c r="B30" s="2" t="s">
        <v>13118</v>
      </c>
      <c r="C30" s="2"/>
      <c r="D30" s="2" t="s">
        <v>13119</v>
      </c>
      <c r="E30" s="2" t="s">
        <v>13120</v>
      </c>
      <c r="F30" s="2" t="s">
        <v>13121</v>
      </c>
      <c r="G30" s="2" t="s">
        <v>13122</v>
      </c>
      <c r="H30" s="2" t="s">
        <v>13123</v>
      </c>
      <c r="I30" s="8">
        <v>2</v>
      </c>
      <c r="J30" s="2" t="s">
        <v>13124</v>
      </c>
      <c r="K30" s="2"/>
      <c r="L30" s="2" t="s">
        <v>12970</v>
      </c>
      <c r="M30" s="2" t="s">
        <v>13116</v>
      </c>
      <c r="N30" s="2" t="s">
        <v>13125</v>
      </c>
      <c r="O30" s="2"/>
      <c r="P30" s="2"/>
      <c r="Q30" s="2"/>
    </row>
    <row r="31" spans="1:17" ht="13.2" customHeight="1" x14ac:dyDescent="0.25">
      <c r="A31" s="8" t="s">
        <v>10250</v>
      </c>
      <c r="B31" s="2" t="s">
        <v>13126</v>
      </c>
      <c r="C31" s="2"/>
      <c r="D31" s="2" t="s">
        <v>13127</v>
      </c>
      <c r="E31" s="2" t="s">
        <v>13128</v>
      </c>
      <c r="F31" s="2" t="s">
        <v>13129</v>
      </c>
      <c r="G31" s="2" t="s">
        <v>13130</v>
      </c>
      <c r="H31" s="2" t="s">
        <v>13131</v>
      </c>
      <c r="I31" s="8">
        <v>1</v>
      </c>
      <c r="J31" s="2" t="s">
        <v>13132</v>
      </c>
      <c r="K31" s="2"/>
      <c r="L31" s="2" t="s">
        <v>12970</v>
      </c>
      <c r="M31" s="2" t="s">
        <v>13116</v>
      </c>
      <c r="N31" s="2" t="s">
        <v>13133</v>
      </c>
      <c r="O31" s="2"/>
      <c r="P31" s="2"/>
      <c r="Q31" s="2"/>
    </row>
    <row r="32" spans="1:17" ht="13.2" customHeight="1" x14ac:dyDescent="0.25">
      <c r="A32" s="8" t="s">
        <v>10257</v>
      </c>
      <c r="B32" s="2" t="s">
        <v>13134</v>
      </c>
      <c r="C32" s="2"/>
      <c r="D32" s="2" t="s">
        <v>13135</v>
      </c>
      <c r="E32" s="2" t="s">
        <v>13136</v>
      </c>
      <c r="F32" s="2" t="s">
        <v>13137</v>
      </c>
      <c r="G32" s="2" t="s">
        <v>13138</v>
      </c>
      <c r="H32" s="2" t="s">
        <v>13139</v>
      </c>
      <c r="I32" s="8">
        <v>1</v>
      </c>
      <c r="J32" s="2" t="s">
        <v>13140</v>
      </c>
      <c r="K32" s="2"/>
      <c r="L32" s="2" t="s">
        <v>12970</v>
      </c>
      <c r="M32" s="2" t="s">
        <v>13116</v>
      </c>
      <c r="N32" s="2" t="s">
        <v>13141</v>
      </c>
      <c r="O32" s="2"/>
      <c r="P32" s="2"/>
      <c r="Q32" s="2"/>
    </row>
    <row r="33" spans="1:17" ht="13.2" customHeight="1" x14ac:dyDescent="0.25">
      <c r="A33" s="8" t="s">
        <v>10261</v>
      </c>
      <c r="B33" s="2" t="s">
        <v>13142</v>
      </c>
      <c r="C33" s="2"/>
      <c r="D33" s="2" t="s">
        <v>13116</v>
      </c>
      <c r="E33" s="2" t="s">
        <v>13143</v>
      </c>
      <c r="F33" s="2" t="s">
        <v>13144</v>
      </c>
      <c r="G33" s="2" t="s">
        <v>13145</v>
      </c>
      <c r="H33" s="2" t="s">
        <v>13146</v>
      </c>
      <c r="I33" s="8">
        <v>1</v>
      </c>
      <c r="J33" s="2" t="s">
        <v>13147</v>
      </c>
      <c r="K33" s="2"/>
      <c r="L33" s="2" t="s">
        <v>12970</v>
      </c>
      <c r="M33" s="2" t="s">
        <v>13116</v>
      </c>
      <c r="N33" s="2" t="s">
        <v>13148</v>
      </c>
      <c r="O33" s="2"/>
      <c r="P33" s="2"/>
    </row>
    <row r="34" spans="1:17" ht="13.2" customHeight="1" x14ac:dyDescent="0.25">
      <c r="A34" s="8" t="s">
        <v>10267</v>
      </c>
      <c r="B34" s="2" t="s">
        <v>13149</v>
      </c>
      <c r="C34" s="2"/>
      <c r="D34" s="2" t="s">
        <v>13150</v>
      </c>
      <c r="E34" s="2" t="s">
        <v>13151</v>
      </c>
      <c r="F34" s="2" t="s">
        <v>13152</v>
      </c>
      <c r="G34" s="2" t="s">
        <v>13153</v>
      </c>
      <c r="H34" s="2" t="s">
        <v>13154</v>
      </c>
      <c r="I34" s="8">
        <v>3</v>
      </c>
      <c r="J34" s="2" t="s">
        <v>13155</v>
      </c>
      <c r="K34" s="2"/>
      <c r="L34" s="2" t="s">
        <v>12970</v>
      </c>
      <c r="M34" s="2" t="s">
        <v>13116</v>
      </c>
      <c r="N34" s="2" t="s">
        <v>13156</v>
      </c>
      <c r="O34" s="2"/>
      <c r="P34" s="2"/>
      <c r="Q34" s="2"/>
    </row>
    <row r="35" spans="1:17" ht="13.2" customHeight="1" x14ac:dyDescent="0.25">
      <c r="A35" s="8" t="s">
        <v>10920</v>
      </c>
      <c r="B35" s="2" t="s">
        <v>13157</v>
      </c>
      <c r="C35" s="2"/>
      <c r="D35" s="2" t="s">
        <v>13158</v>
      </c>
      <c r="E35" s="2" t="s">
        <v>13159</v>
      </c>
      <c r="F35" s="2" t="s">
        <v>833</v>
      </c>
      <c r="G35" s="2" t="s">
        <v>6730</v>
      </c>
      <c r="H35" s="2" t="s">
        <v>6730</v>
      </c>
      <c r="I35" s="8">
        <v>1</v>
      </c>
      <c r="J35" s="2" t="s">
        <v>13160</v>
      </c>
      <c r="K35" s="2"/>
      <c r="L35" s="2" t="s">
        <v>12970</v>
      </c>
      <c r="M35" s="2" t="s">
        <v>13116</v>
      </c>
      <c r="N35" s="2" t="s">
        <v>13161</v>
      </c>
      <c r="O35" s="2"/>
      <c r="P35" s="2"/>
      <c r="Q35" s="2"/>
    </row>
    <row r="36" spans="1:17" ht="13.2" customHeight="1" x14ac:dyDescent="0.25">
      <c r="A36" s="8" t="s">
        <v>10275</v>
      </c>
      <c r="B36" s="2" t="s">
        <v>13162</v>
      </c>
      <c r="C36" s="2"/>
      <c r="D36" s="2" t="s">
        <v>13163</v>
      </c>
      <c r="E36" s="2" t="s">
        <v>13164</v>
      </c>
      <c r="F36" s="2" t="s">
        <v>13165</v>
      </c>
      <c r="G36" s="2" t="s">
        <v>6730</v>
      </c>
      <c r="H36" s="2" t="s">
        <v>6730</v>
      </c>
      <c r="I36" s="8">
        <v>1</v>
      </c>
      <c r="J36" s="2" t="s">
        <v>13166</v>
      </c>
      <c r="K36" s="2"/>
      <c r="L36" s="2" t="s">
        <v>12970</v>
      </c>
      <c r="M36" s="2" t="s">
        <v>13116</v>
      </c>
      <c r="N36" s="2" t="s">
        <v>13167</v>
      </c>
      <c r="O36" s="2"/>
      <c r="P36" s="2"/>
      <c r="Q36" s="2"/>
    </row>
    <row r="37" spans="1:17" ht="13.2" customHeight="1" x14ac:dyDescent="0.25">
      <c r="A37" s="8" t="s">
        <v>10285</v>
      </c>
      <c r="B37" s="2" t="s">
        <v>13168</v>
      </c>
      <c r="C37" s="2"/>
      <c r="D37" s="2" t="s">
        <v>13169</v>
      </c>
      <c r="E37" s="2" t="s">
        <v>13170</v>
      </c>
      <c r="F37" s="2" t="s">
        <v>12911</v>
      </c>
      <c r="G37" s="2" t="s">
        <v>13171</v>
      </c>
      <c r="H37" s="2" t="s">
        <v>13172</v>
      </c>
      <c r="I37" s="8">
        <v>1</v>
      </c>
      <c r="J37" s="2" t="s">
        <v>13173</v>
      </c>
      <c r="K37" s="2"/>
      <c r="L37" s="2" t="s">
        <v>12965</v>
      </c>
      <c r="M37" s="2" t="s">
        <v>13116</v>
      </c>
      <c r="N37" s="2" t="s">
        <v>13174</v>
      </c>
      <c r="O37" s="2"/>
      <c r="P37" s="2"/>
      <c r="Q37" s="2"/>
    </row>
    <row r="38" spans="1:17" ht="13.2" customHeight="1" x14ac:dyDescent="0.25">
      <c r="A38" s="8" t="s">
        <v>10294</v>
      </c>
      <c r="B38" s="2" t="s">
        <v>13175</v>
      </c>
      <c r="C38" s="2"/>
      <c r="D38" s="2" t="s">
        <v>13116</v>
      </c>
      <c r="E38" s="2" t="s">
        <v>13176</v>
      </c>
      <c r="F38" s="2" t="s">
        <v>13177</v>
      </c>
      <c r="G38" s="2" t="s">
        <v>13178</v>
      </c>
      <c r="H38" s="2" t="s">
        <v>13179</v>
      </c>
      <c r="I38" s="8">
        <v>1</v>
      </c>
      <c r="J38" s="2" t="s">
        <v>13180</v>
      </c>
      <c r="K38" s="2"/>
      <c r="L38" s="2" t="s">
        <v>12965</v>
      </c>
      <c r="M38" s="2" t="s">
        <v>13116</v>
      </c>
      <c r="N38" s="2" t="s">
        <v>13181</v>
      </c>
      <c r="O38" s="2"/>
      <c r="P38" s="2"/>
    </row>
    <row r="39" spans="1:17" ht="13.2" customHeight="1" x14ac:dyDescent="0.25">
      <c r="A39" s="8" t="s">
        <v>10302</v>
      </c>
      <c r="B39" s="2" t="s">
        <v>13182</v>
      </c>
      <c r="C39" s="2"/>
      <c r="D39" s="2" t="s">
        <v>13183</v>
      </c>
      <c r="E39" s="2" t="s">
        <v>13184</v>
      </c>
      <c r="F39" s="2" t="s">
        <v>13185</v>
      </c>
      <c r="G39" s="2" t="s">
        <v>13186</v>
      </c>
      <c r="H39" s="2" t="s">
        <v>13187</v>
      </c>
      <c r="I39" s="8">
        <v>1</v>
      </c>
      <c r="J39" s="2" t="s">
        <v>13188</v>
      </c>
      <c r="K39" s="2"/>
      <c r="L39" s="2" t="s">
        <v>12970</v>
      </c>
      <c r="M39" s="2" t="s">
        <v>13116</v>
      </c>
      <c r="N39" s="2" t="s">
        <v>13189</v>
      </c>
      <c r="O39" s="2"/>
      <c r="P39" s="2"/>
      <c r="Q39" s="2"/>
    </row>
    <row r="40" spans="1:17" ht="13.2" customHeight="1" x14ac:dyDescent="0.25">
      <c r="A40" s="8" t="s">
        <v>10309</v>
      </c>
      <c r="B40" s="2" t="s">
        <v>13190</v>
      </c>
      <c r="C40" s="2"/>
      <c r="D40" s="2" t="s">
        <v>13116</v>
      </c>
      <c r="E40" s="2" t="s">
        <v>13191</v>
      </c>
      <c r="F40" s="2" t="s">
        <v>13145</v>
      </c>
      <c r="G40" s="2" t="s">
        <v>13146</v>
      </c>
      <c r="H40" s="2" t="s">
        <v>13192</v>
      </c>
      <c r="I40" s="8">
        <v>1</v>
      </c>
      <c r="J40" s="2" t="s">
        <v>13193</v>
      </c>
      <c r="K40" s="2"/>
      <c r="L40" s="2" t="s">
        <v>12965</v>
      </c>
      <c r="M40" s="2" t="s">
        <v>13116</v>
      </c>
      <c r="N40" s="2" t="s">
        <v>13194</v>
      </c>
      <c r="O40" s="2"/>
      <c r="P40" s="2"/>
    </row>
    <row r="41" spans="1:17" ht="13.2" customHeight="1" x14ac:dyDescent="0.25">
      <c r="A41" s="8" t="s">
        <v>10316</v>
      </c>
      <c r="B41" s="2" t="s">
        <v>13195</v>
      </c>
      <c r="C41" s="2"/>
      <c r="D41" s="2" t="s">
        <v>13196</v>
      </c>
      <c r="E41" s="2" t="s">
        <v>13197</v>
      </c>
      <c r="F41" s="2" t="s">
        <v>13198</v>
      </c>
      <c r="G41" s="2" t="s">
        <v>13199</v>
      </c>
      <c r="H41" s="2" t="s">
        <v>13200</v>
      </c>
      <c r="I41" s="8">
        <v>1</v>
      </c>
      <c r="J41" s="2" t="s">
        <v>13201</v>
      </c>
      <c r="K41" s="2"/>
      <c r="L41" s="2" t="s">
        <v>12970</v>
      </c>
      <c r="M41" s="2" t="s">
        <v>13116</v>
      </c>
      <c r="N41" s="2" t="s">
        <v>13202</v>
      </c>
      <c r="O41" s="2"/>
      <c r="P41" s="2"/>
      <c r="Q41" s="2"/>
    </row>
    <row r="42" spans="1:17" ht="13.2" customHeight="1" x14ac:dyDescent="0.25">
      <c r="A42" s="8" t="s">
        <v>10323</v>
      </c>
      <c r="B42" s="2" t="s">
        <v>13203</v>
      </c>
      <c r="C42" s="2"/>
      <c r="D42" s="2" t="s">
        <v>13116</v>
      </c>
      <c r="E42" s="2" t="s">
        <v>13178</v>
      </c>
      <c r="F42" s="2" t="s">
        <v>13179</v>
      </c>
      <c r="G42" s="2" t="s">
        <v>13204</v>
      </c>
      <c r="H42" s="2" t="s">
        <v>13205</v>
      </c>
      <c r="I42" s="8">
        <v>1</v>
      </c>
      <c r="J42" s="2" t="s">
        <v>13206</v>
      </c>
      <c r="K42" s="2"/>
      <c r="L42" s="2" t="s">
        <v>12965</v>
      </c>
      <c r="M42" s="2" t="s">
        <v>13116</v>
      </c>
      <c r="N42" s="2" t="s">
        <v>13207</v>
      </c>
      <c r="O42" s="2"/>
      <c r="P42" s="2"/>
    </row>
    <row r="43" spans="1:17" ht="13.2" customHeight="1" x14ac:dyDescent="0.25">
      <c r="A43" s="8" t="s">
        <v>10323</v>
      </c>
      <c r="B43" s="2" t="s">
        <v>13208</v>
      </c>
      <c r="C43" s="2"/>
      <c r="D43" s="2" t="s">
        <v>13204</v>
      </c>
      <c r="E43" s="2" t="s">
        <v>13205</v>
      </c>
      <c r="F43" s="2" t="s">
        <v>13209</v>
      </c>
      <c r="G43" s="2" t="s">
        <v>13210</v>
      </c>
      <c r="H43" s="2" t="s">
        <v>13146</v>
      </c>
      <c r="I43" s="8">
        <v>1</v>
      </c>
      <c r="J43" s="2" t="s">
        <v>13211</v>
      </c>
      <c r="K43" s="2"/>
      <c r="L43" s="2" t="s">
        <v>12970</v>
      </c>
      <c r="M43" s="2" t="s">
        <v>29</v>
      </c>
      <c r="N43" s="2" t="s">
        <v>13212</v>
      </c>
      <c r="O43" s="2"/>
      <c r="P43" s="2"/>
    </row>
    <row r="44" spans="1:17" ht="13.2" customHeight="1" x14ac:dyDescent="0.25">
      <c r="A44" s="8" t="s">
        <v>10327</v>
      </c>
      <c r="B44" s="2" t="s">
        <v>13213</v>
      </c>
      <c r="C44" s="2"/>
      <c r="D44" s="2" t="s">
        <v>13214</v>
      </c>
      <c r="E44" s="2" t="s">
        <v>13215</v>
      </c>
      <c r="F44" s="2" t="s">
        <v>13216</v>
      </c>
      <c r="G44" s="2" t="s">
        <v>13217</v>
      </c>
      <c r="H44" s="2" t="s">
        <v>13218</v>
      </c>
      <c r="I44" s="8">
        <v>1</v>
      </c>
      <c r="J44" s="2" t="s">
        <v>13219</v>
      </c>
      <c r="K44" s="2"/>
      <c r="L44" s="2" t="s">
        <v>12970</v>
      </c>
      <c r="M44" s="2" t="s">
        <v>29</v>
      </c>
      <c r="N44" s="2" t="s">
        <v>13220</v>
      </c>
      <c r="O44" s="2"/>
      <c r="P44" s="2"/>
    </row>
    <row r="45" spans="1:17" ht="13.2" customHeight="1" x14ac:dyDescent="0.25">
      <c r="A45" s="8" t="s">
        <v>10333</v>
      </c>
      <c r="B45" s="2" t="s">
        <v>13221</v>
      </c>
      <c r="C45" s="2"/>
      <c r="D45" s="2" t="s">
        <v>733</v>
      </c>
      <c r="E45" s="2" t="s">
        <v>2239</v>
      </c>
      <c r="F45" s="2" t="s">
        <v>442</v>
      </c>
      <c r="G45" s="2" t="s">
        <v>13222</v>
      </c>
      <c r="H45" s="2" t="s">
        <v>1962</v>
      </c>
      <c r="I45" s="8">
        <v>1</v>
      </c>
      <c r="J45" s="2" t="s">
        <v>13223</v>
      </c>
      <c r="K45" s="2"/>
      <c r="L45" s="2" t="s">
        <v>12970</v>
      </c>
      <c r="M45" s="2" t="s">
        <v>29</v>
      </c>
      <c r="N45" s="2" t="s">
        <v>2222</v>
      </c>
      <c r="O45" s="2"/>
      <c r="P45" s="2"/>
    </row>
    <row r="46" spans="1:17" ht="13.2" customHeight="1" x14ac:dyDescent="0.25">
      <c r="A46" s="8" t="s">
        <v>10340</v>
      </c>
      <c r="B46" s="2" t="s">
        <v>13224</v>
      </c>
      <c r="C46" s="2"/>
      <c r="D46" s="2" t="s">
        <v>733</v>
      </c>
      <c r="E46" s="2" t="s">
        <v>2239</v>
      </c>
      <c r="F46" s="2" t="s">
        <v>442</v>
      </c>
      <c r="G46" s="2" t="s">
        <v>13222</v>
      </c>
      <c r="H46" s="2" t="s">
        <v>1962</v>
      </c>
      <c r="I46" s="8">
        <v>1</v>
      </c>
      <c r="J46" s="2" t="s">
        <v>13223</v>
      </c>
      <c r="K46" s="2"/>
      <c r="L46" s="2" t="s">
        <v>12970</v>
      </c>
      <c r="M46" s="2" t="s">
        <v>29</v>
      </c>
      <c r="N46" s="2" t="s">
        <v>3447</v>
      </c>
      <c r="O46" s="2"/>
      <c r="P46" s="2"/>
    </row>
    <row r="47" spans="1:17" ht="13.2" customHeight="1" x14ac:dyDescent="0.25">
      <c r="A47" s="8" t="s">
        <v>10354</v>
      </c>
      <c r="B47" s="2" t="s">
        <v>13225</v>
      </c>
      <c r="C47" s="2"/>
      <c r="D47" s="2" t="s">
        <v>538</v>
      </c>
      <c r="E47" s="2" t="s">
        <v>539</v>
      </c>
      <c r="F47" s="2" t="s">
        <v>540</v>
      </c>
      <c r="G47" s="2" t="s">
        <v>541</v>
      </c>
      <c r="H47" s="2" t="s">
        <v>13226</v>
      </c>
      <c r="I47" s="8">
        <v>1</v>
      </c>
      <c r="J47" s="2" t="s">
        <v>13227</v>
      </c>
      <c r="K47" s="2"/>
      <c r="L47" s="2" t="s">
        <v>12970</v>
      </c>
      <c r="M47" s="2" t="s">
        <v>29</v>
      </c>
      <c r="N47" s="2" t="s">
        <v>13228</v>
      </c>
      <c r="O47" s="2"/>
      <c r="P47" s="2"/>
    </row>
    <row r="48" spans="1:17" ht="13.2" customHeight="1" x14ac:dyDescent="0.25">
      <c r="A48" s="8" t="s">
        <v>10363</v>
      </c>
      <c r="B48" s="2" t="s">
        <v>13229</v>
      </c>
      <c r="C48" s="2"/>
      <c r="D48" s="2" t="s">
        <v>13192</v>
      </c>
      <c r="E48" s="2" t="s">
        <v>13230</v>
      </c>
      <c r="F48" s="2" t="s">
        <v>13231</v>
      </c>
      <c r="G48" s="2" t="s">
        <v>13232</v>
      </c>
      <c r="H48" s="2" t="s">
        <v>13179</v>
      </c>
      <c r="I48" s="8">
        <v>1</v>
      </c>
      <c r="J48" s="2" t="s">
        <v>13233</v>
      </c>
      <c r="K48" s="2"/>
      <c r="L48" s="2" t="s">
        <v>12970</v>
      </c>
      <c r="M48" s="2" t="s">
        <v>29</v>
      </c>
      <c r="N48" s="2" t="s">
        <v>13234</v>
      </c>
      <c r="O48" s="2"/>
      <c r="P48" s="2"/>
    </row>
    <row r="49" spans="1:16" ht="13.2" customHeight="1" x14ac:dyDescent="0.25">
      <c r="A49" s="8" t="s">
        <v>10368</v>
      </c>
      <c r="B49" s="2" t="s">
        <v>13235</v>
      </c>
      <c r="C49" s="2"/>
      <c r="D49" s="2" t="s">
        <v>13236</v>
      </c>
      <c r="E49" s="2" t="s">
        <v>13237</v>
      </c>
      <c r="F49" s="2" t="s">
        <v>13238</v>
      </c>
      <c r="G49" s="2" t="s">
        <v>13239</v>
      </c>
      <c r="H49" s="2" t="s">
        <v>13240</v>
      </c>
      <c r="I49" s="8">
        <v>1</v>
      </c>
      <c r="J49" s="2" t="s">
        <v>13241</v>
      </c>
      <c r="K49" s="2"/>
      <c r="L49" s="2" t="s">
        <v>12970</v>
      </c>
      <c r="M49" s="2" t="s">
        <v>29</v>
      </c>
      <c r="N49" s="2" t="s">
        <v>13242</v>
      </c>
      <c r="O49" s="2"/>
      <c r="P49" s="2"/>
    </row>
    <row r="50" spans="1:16" ht="13.2" customHeight="1" x14ac:dyDescent="0.25">
      <c r="A50" s="8" t="s">
        <v>10373</v>
      </c>
      <c r="B50" s="2" t="s">
        <v>13243</v>
      </c>
      <c r="C50" s="2"/>
      <c r="D50" s="2" t="s">
        <v>13205</v>
      </c>
      <c r="E50" s="2" t="s">
        <v>13191</v>
      </c>
      <c r="F50" s="2" t="s">
        <v>13145</v>
      </c>
      <c r="G50" s="2" t="s">
        <v>13146</v>
      </c>
      <c r="H50" s="2" t="s">
        <v>13192</v>
      </c>
      <c r="I50" s="8">
        <v>1</v>
      </c>
      <c r="J50" s="2" t="s">
        <v>13244</v>
      </c>
      <c r="K50" s="2"/>
      <c r="L50" s="2" t="s">
        <v>12970</v>
      </c>
      <c r="M50" s="2" t="s">
        <v>29</v>
      </c>
      <c r="N50" s="2" t="s">
        <v>13245</v>
      </c>
      <c r="O50" s="2"/>
      <c r="P50" s="2"/>
    </row>
    <row r="51" spans="1:16" ht="13.2" customHeight="1" x14ac:dyDescent="0.25">
      <c r="A51" s="8" t="s">
        <v>10380</v>
      </c>
      <c r="B51" s="2" t="s">
        <v>13246</v>
      </c>
      <c r="C51" s="2"/>
      <c r="D51" s="2" t="s">
        <v>13146</v>
      </c>
      <c r="E51" s="2" t="s">
        <v>13192</v>
      </c>
      <c r="F51" s="2" t="s">
        <v>13176</v>
      </c>
      <c r="G51" s="2" t="s">
        <v>13177</v>
      </c>
      <c r="H51" s="2" t="s">
        <v>13178</v>
      </c>
      <c r="I51" s="8">
        <v>1</v>
      </c>
      <c r="J51" s="2" t="s">
        <v>13247</v>
      </c>
      <c r="K51" s="2"/>
      <c r="L51" s="2" t="s">
        <v>12970</v>
      </c>
      <c r="M51" s="2" t="s">
        <v>29</v>
      </c>
      <c r="N51" s="2" t="s">
        <v>10017</v>
      </c>
      <c r="O51" s="2"/>
      <c r="P51" s="2"/>
    </row>
    <row r="52" spans="1:16" ht="13.2" customHeight="1" x14ac:dyDescent="0.25">
      <c r="A52" s="8" t="s">
        <v>8862</v>
      </c>
      <c r="B52" s="2" t="s">
        <v>13248</v>
      </c>
      <c r="C52" s="2"/>
      <c r="D52" s="2" t="s">
        <v>13249</v>
      </c>
      <c r="E52" s="2" t="s">
        <v>13250</v>
      </c>
      <c r="F52" s="2" t="s">
        <v>13251</v>
      </c>
      <c r="G52" s="2" t="s">
        <v>13252</v>
      </c>
      <c r="H52" s="2" t="s">
        <v>13205</v>
      </c>
      <c r="I52" s="8">
        <v>2</v>
      </c>
      <c r="J52" s="2" t="s">
        <v>13253</v>
      </c>
      <c r="K52" s="2"/>
      <c r="L52" s="2" t="s">
        <v>12970</v>
      </c>
      <c r="M52" s="2" t="s">
        <v>29</v>
      </c>
      <c r="N52" s="2" t="s">
        <v>3642</v>
      </c>
      <c r="O52" s="2"/>
      <c r="P52" s="2"/>
    </row>
    <row r="53" spans="1:16" ht="13.2" customHeight="1" x14ac:dyDescent="0.25">
      <c r="A53" s="8" t="s">
        <v>10405</v>
      </c>
      <c r="B53" s="2" t="s">
        <v>13254</v>
      </c>
      <c r="C53" s="2"/>
      <c r="D53" s="2" t="s">
        <v>13145</v>
      </c>
      <c r="E53" s="2" t="s">
        <v>13146</v>
      </c>
      <c r="F53" s="2" t="s">
        <v>13192</v>
      </c>
      <c r="G53" s="2" t="s">
        <v>13176</v>
      </c>
      <c r="H53" s="2" t="s">
        <v>13177</v>
      </c>
      <c r="I53" s="8">
        <v>1</v>
      </c>
      <c r="J53" s="2" t="s">
        <v>13255</v>
      </c>
      <c r="K53" s="2"/>
      <c r="L53" s="2" t="s">
        <v>12970</v>
      </c>
      <c r="M53" s="2" t="s">
        <v>29</v>
      </c>
      <c r="N53" s="2" t="s">
        <v>3733</v>
      </c>
      <c r="O53" s="2"/>
      <c r="P53" s="2"/>
    </row>
    <row r="54" spans="1:16" ht="13.2" customHeight="1" x14ac:dyDescent="0.25">
      <c r="A54" s="8" t="s">
        <v>10411</v>
      </c>
      <c r="B54" s="2" t="s">
        <v>13256</v>
      </c>
      <c r="C54" s="2"/>
      <c r="D54" s="2" t="s">
        <v>13176</v>
      </c>
      <c r="E54" s="2" t="s">
        <v>13177</v>
      </c>
      <c r="F54" s="2" t="s">
        <v>13178</v>
      </c>
      <c r="G54" s="2" t="s">
        <v>13179</v>
      </c>
      <c r="H54" s="2" t="s">
        <v>13204</v>
      </c>
      <c r="I54" s="8">
        <v>1</v>
      </c>
      <c r="J54" s="2" t="s">
        <v>13257</v>
      </c>
      <c r="K54" s="2"/>
      <c r="L54" s="2" t="s">
        <v>12970</v>
      </c>
      <c r="M54" s="2" t="s">
        <v>29</v>
      </c>
      <c r="N54" s="2" t="s">
        <v>2540</v>
      </c>
      <c r="O54" s="2"/>
      <c r="P54" s="2"/>
    </row>
    <row r="55" spans="1:16" ht="13.2" customHeight="1" x14ac:dyDescent="0.25">
      <c r="A55" s="8" t="s">
        <v>10419</v>
      </c>
      <c r="B55" s="2" t="s">
        <v>13258</v>
      </c>
      <c r="C55" s="2"/>
      <c r="D55" s="2" t="s">
        <v>13259</v>
      </c>
      <c r="E55" s="2" t="s">
        <v>13260</v>
      </c>
      <c r="F55" s="2" t="s">
        <v>13261</v>
      </c>
      <c r="G55" s="2" t="s">
        <v>13262</v>
      </c>
      <c r="H55" s="2" t="s">
        <v>13263</v>
      </c>
      <c r="I55" s="8">
        <v>1</v>
      </c>
      <c r="J55" s="2" t="s">
        <v>13264</v>
      </c>
      <c r="K55" s="2"/>
      <c r="L55" s="2" t="s">
        <v>12970</v>
      </c>
      <c r="M55" s="2" t="s">
        <v>29</v>
      </c>
      <c r="N55" s="2" t="s">
        <v>7496</v>
      </c>
      <c r="O55" s="2"/>
      <c r="P55" s="2"/>
    </row>
    <row r="56" spans="1:16" ht="13.2" customHeight="1" x14ac:dyDescent="0.25">
      <c r="A56" s="8" t="s">
        <v>10427</v>
      </c>
      <c r="B56" s="2" t="s">
        <v>13265</v>
      </c>
      <c r="C56" s="2"/>
      <c r="D56" s="2" t="s">
        <v>13191</v>
      </c>
      <c r="E56" s="2" t="s">
        <v>13145</v>
      </c>
      <c r="F56" s="2" t="s">
        <v>13146</v>
      </c>
      <c r="G56" s="2" t="s">
        <v>13192</v>
      </c>
      <c r="H56" s="2" t="s">
        <v>13176</v>
      </c>
      <c r="I56" s="8">
        <v>1</v>
      </c>
      <c r="J56" s="2" t="s">
        <v>13266</v>
      </c>
      <c r="K56" s="2"/>
      <c r="L56" s="2" t="s">
        <v>12970</v>
      </c>
      <c r="M56" s="2" t="s">
        <v>29</v>
      </c>
      <c r="N56" s="2" t="s">
        <v>2655</v>
      </c>
      <c r="O56" s="2"/>
      <c r="P56" s="2"/>
    </row>
    <row r="57" spans="1:16" ht="13.2" customHeight="1" x14ac:dyDescent="0.25">
      <c r="A57" s="8" t="s">
        <v>10431</v>
      </c>
      <c r="B57" s="2" t="s">
        <v>13267</v>
      </c>
      <c r="C57" s="2"/>
      <c r="D57" s="2" t="s">
        <v>13192</v>
      </c>
      <c r="E57" s="2" t="s">
        <v>13176</v>
      </c>
      <c r="F57" s="2" t="s">
        <v>13177</v>
      </c>
      <c r="G57" s="2" t="s">
        <v>13178</v>
      </c>
      <c r="H57" s="2" t="s">
        <v>13179</v>
      </c>
      <c r="I57" s="8">
        <v>1</v>
      </c>
      <c r="J57" s="2" t="s">
        <v>13268</v>
      </c>
      <c r="K57" s="2"/>
      <c r="L57" s="2" t="s">
        <v>12970</v>
      </c>
      <c r="M57" s="2" t="s">
        <v>29</v>
      </c>
      <c r="N57" s="2" t="s">
        <v>1669</v>
      </c>
      <c r="O57" s="2"/>
      <c r="P57" s="2"/>
    </row>
    <row r="58" spans="1:16" ht="13.2" customHeight="1" x14ac:dyDescent="0.25">
      <c r="A58" s="8" t="s">
        <v>10436</v>
      </c>
      <c r="B58" s="2" t="s">
        <v>13269</v>
      </c>
      <c r="C58" s="2"/>
      <c r="D58" s="2" t="s">
        <v>13178</v>
      </c>
      <c r="E58" s="2" t="s">
        <v>13179</v>
      </c>
      <c r="F58" s="2" t="s">
        <v>13204</v>
      </c>
      <c r="G58" s="2" t="s">
        <v>13205</v>
      </c>
      <c r="H58" s="2" t="s">
        <v>13191</v>
      </c>
      <c r="I58" s="8">
        <v>1</v>
      </c>
      <c r="J58" s="2" t="s">
        <v>13270</v>
      </c>
      <c r="K58" s="2"/>
      <c r="L58" s="2" t="s">
        <v>12970</v>
      </c>
      <c r="M58" s="2" t="s">
        <v>29</v>
      </c>
      <c r="N58" s="2" t="s">
        <v>3887</v>
      </c>
      <c r="O58" s="2"/>
      <c r="P58" s="2"/>
    </row>
    <row r="59" spans="1:16" ht="13.2" customHeight="1" x14ac:dyDescent="0.25">
      <c r="A59" s="8" t="s">
        <v>10440</v>
      </c>
      <c r="B59" s="2" t="s">
        <v>13271</v>
      </c>
      <c r="C59" s="2"/>
      <c r="D59" s="2" t="s">
        <v>13205</v>
      </c>
      <c r="E59" s="2" t="s">
        <v>13191</v>
      </c>
      <c r="F59" s="2" t="s">
        <v>13145</v>
      </c>
      <c r="G59" s="2" t="s">
        <v>13146</v>
      </c>
      <c r="H59" s="2" t="s">
        <v>13192</v>
      </c>
      <c r="I59" s="8">
        <v>1</v>
      </c>
      <c r="J59" s="2" t="s">
        <v>13244</v>
      </c>
      <c r="K59" s="2"/>
      <c r="L59" s="2" t="s">
        <v>12970</v>
      </c>
      <c r="M59" s="2" t="s">
        <v>29</v>
      </c>
      <c r="N59" s="2" t="s">
        <v>1669</v>
      </c>
      <c r="O59" s="2"/>
      <c r="P59" s="2"/>
    </row>
    <row r="60" spans="1:16" ht="13.2" customHeight="1" x14ac:dyDescent="0.25">
      <c r="A60" s="8" t="s">
        <v>10445</v>
      </c>
      <c r="B60" s="2" t="s">
        <v>13272</v>
      </c>
      <c r="C60" s="2"/>
      <c r="D60" s="2" t="s">
        <v>13146</v>
      </c>
      <c r="E60" s="2" t="s">
        <v>13192</v>
      </c>
      <c r="F60" s="2" t="s">
        <v>13176</v>
      </c>
      <c r="G60" s="2" t="s">
        <v>13177</v>
      </c>
      <c r="H60" s="2" t="s">
        <v>13178</v>
      </c>
      <c r="I60" s="8">
        <v>1</v>
      </c>
      <c r="J60" s="2" t="s">
        <v>13247</v>
      </c>
      <c r="K60" s="2"/>
      <c r="L60" s="2" t="s">
        <v>12970</v>
      </c>
      <c r="M60" s="2" t="s">
        <v>29</v>
      </c>
      <c r="N60" s="2" t="s">
        <v>2655</v>
      </c>
      <c r="O60" s="2"/>
      <c r="P60" s="2"/>
    </row>
    <row r="61" spans="1:16" ht="13.2" customHeight="1" x14ac:dyDescent="0.25">
      <c r="A61" s="8" t="s">
        <v>10450</v>
      </c>
      <c r="B61" s="2" t="s">
        <v>13273</v>
      </c>
      <c r="C61" s="2"/>
      <c r="D61" s="2" t="s">
        <v>13177</v>
      </c>
      <c r="E61" s="2" t="s">
        <v>13178</v>
      </c>
      <c r="F61" s="2" t="s">
        <v>13179</v>
      </c>
      <c r="G61" s="2" t="s">
        <v>13204</v>
      </c>
      <c r="H61" s="2" t="s">
        <v>13205</v>
      </c>
      <c r="I61" s="8">
        <v>1</v>
      </c>
      <c r="J61" s="2" t="s">
        <v>13274</v>
      </c>
      <c r="K61" s="2"/>
      <c r="L61" s="2" t="s">
        <v>12970</v>
      </c>
      <c r="M61" s="2" t="s">
        <v>29</v>
      </c>
      <c r="N61" s="2" t="s">
        <v>7564</v>
      </c>
      <c r="O61" s="2"/>
      <c r="P61" s="2"/>
    </row>
    <row r="62" spans="1:16" ht="13.2" customHeight="1" x14ac:dyDescent="0.25">
      <c r="A62" s="8" t="s">
        <v>10454</v>
      </c>
      <c r="B62" s="2" t="s">
        <v>13275</v>
      </c>
      <c r="C62" s="2"/>
      <c r="D62" s="2" t="s">
        <v>13276</v>
      </c>
      <c r="E62" s="2" t="s">
        <v>13205</v>
      </c>
      <c r="F62" s="2" t="s">
        <v>13191</v>
      </c>
      <c r="G62" s="2" t="s">
        <v>13145</v>
      </c>
      <c r="H62" s="2" t="s">
        <v>13146</v>
      </c>
      <c r="I62" s="8">
        <v>1</v>
      </c>
      <c r="J62" s="2" t="s">
        <v>13277</v>
      </c>
      <c r="K62" s="2"/>
      <c r="L62" s="2" t="s">
        <v>12970</v>
      </c>
      <c r="M62" s="2" t="s">
        <v>29</v>
      </c>
      <c r="N62" s="2" t="s">
        <v>1669</v>
      </c>
      <c r="O62" s="2"/>
      <c r="P62" s="2"/>
    </row>
    <row r="63" spans="1:16" ht="13.2" customHeight="1" x14ac:dyDescent="0.25">
      <c r="A63" s="8" t="s">
        <v>10457</v>
      </c>
      <c r="B63" s="2" t="s">
        <v>13278</v>
      </c>
      <c r="C63" s="2"/>
      <c r="D63" s="2" t="s">
        <v>13145</v>
      </c>
      <c r="E63" s="2" t="s">
        <v>13146</v>
      </c>
      <c r="F63" s="2" t="s">
        <v>13192</v>
      </c>
      <c r="G63" s="2" t="s">
        <v>13176</v>
      </c>
      <c r="H63" s="2" t="s">
        <v>13177</v>
      </c>
      <c r="I63" s="8">
        <v>1</v>
      </c>
      <c r="J63" s="2" t="s">
        <v>13279</v>
      </c>
      <c r="K63" s="2"/>
      <c r="L63" s="2" t="s">
        <v>12970</v>
      </c>
      <c r="M63" s="2" t="s">
        <v>29</v>
      </c>
      <c r="N63" s="2" t="s">
        <v>9215</v>
      </c>
      <c r="O63" s="2"/>
      <c r="P63" s="2"/>
    </row>
    <row r="64" spans="1:16" ht="13.2" customHeight="1" x14ac:dyDescent="0.25">
      <c r="A64" s="8" t="s">
        <v>10461</v>
      </c>
      <c r="B64" s="2" t="s">
        <v>13280</v>
      </c>
      <c r="C64" s="2"/>
      <c r="D64" s="2" t="s">
        <v>787</v>
      </c>
      <c r="E64" s="2" t="s">
        <v>8482</v>
      </c>
      <c r="F64" s="2" t="s">
        <v>2638</v>
      </c>
      <c r="G64" s="2" t="s">
        <v>330</v>
      </c>
      <c r="H64" s="2" t="s">
        <v>13281</v>
      </c>
      <c r="I64" s="8">
        <v>2</v>
      </c>
      <c r="J64" s="2" t="s">
        <v>13282</v>
      </c>
      <c r="K64" s="2"/>
      <c r="L64" s="2" t="s">
        <v>12970</v>
      </c>
      <c r="M64" s="2" t="s">
        <v>29</v>
      </c>
      <c r="N64" s="2" t="s">
        <v>13283</v>
      </c>
      <c r="O64" s="2"/>
      <c r="P64" s="2"/>
    </row>
    <row r="65" spans="1:16" ht="13.2" customHeight="1" x14ac:dyDescent="0.25">
      <c r="A65" s="8" t="s">
        <v>10465</v>
      </c>
      <c r="B65" s="2" t="s">
        <v>13284</v>
      </c>
      <c r="C65" s="2"/>
      <c r="D65" s="2" t="s">
        <v>13179</v>
      </c>
      <c r="E65" s="2" t="s">
        <v>13204</v>
      </c>
      <c r="F65" s="2" t="s">
        <v>13205</v>
      </c>
      <c r="G65" s="2" t="s">
        <v>13191</v>
      </c>
      <c r="H65" s="2" t="s">
        <v>13145</v>
      </c>
      <c r="I65" s="8">
        <v>1</v>
      </c>
      <c r="J65" s="2" t="s">
        <v>13285</v>
      </c>
      <c r="K65" s="2"/>
      <c r="L65" s="2" t="s">
        <v>12970</v>
      </c>
      <c r="M65" s="2" t="s">
        <v>29</v>
      </c>
      <c r="N65" s="2" t="s">
        <v>1669</v>
      </c>
      <c r="O65" s="2"/>
      <c r="P65" s="2"/>
    </row>
    <row r="66" spans="1:16" ht="13.2" customHeight="1" x14ac:dyDescent="0.25">
      <c r="A66" s="8" t="s">
        <v>10468</v>
      </c>
      <c r="B66" s="2" t="s">
        <v>12472</v>
      </c>
      <c r="C66" s="2"/>
      <c r="D66" s="2" t="s">
        <v>13191</v>
      </c>
      <c r="E66" s="2" t="s">
        <v>13145</v>
      </c>
      <c r="F66" s="2" t="s">
        <v>13146</v>
      </c>
      <c r="G66" s="2" t="s">
        <v>13192</v>
      </c>
      <c r="H66" s="2" t="s">
        <v>13176</v>
      </c>
      <c r="I66" s="8">
        <v>1</v>
      </c>
      <c r="J66" s="2" t="s">
        <v>13286</v>
      </c>
      <c r="K66" s="2"/>
      <c r="L66" s="2" t="s">
        <v>12970</v>
      </c>
      <c r="M66" s="2" t="s">
        <v>29</v>
      </c>
      <c r="N66" s="2" t="s">
        <v>3900</v>
      </c>
      <c r="O66" s="2"/>
      <c r="P66" s="2"/>
    </row>
    <row r="67" spans="1:16" ht="13.2" customHeight="1" x14ac:dyDescent="0.25">
      <c r="A67" s="8" t="s">
        <v>10470</v>
      </c>
      <c r="B67" s="2" t="s">
        <v>13287</v>
      </c>
      <c r="C67" s="2"/>
      <c r="D67" s="2" t="s">
        <v>13192</v>
      </c>
      <c r="E67" s="2" t="s">
        <v>13176</v>
      </c>
      <c r="F67" s="2" t="s">
        <v>13177</v>
      </c>
      <c r="G67" s="2" t="s">
        <v>13178</v>
      </c>
      <c r="H67" s="2" t="s">
        <v>13179</v>
      </c>
      <c r="I67" s="8">
        <v>1</v>
      </c>
      <c r="J67" s="2" t="s">
        <v>13268</v>
      </c>
      <c r="K67" s="2"/>
      <c r="L67" s="2" t="s">
        <v>12970</v>
      </c>
      <c r="M67" s="2" t="s">
        <v>29</v>
      </c>
      <c r="N67" s="2" t="s">
        <v>3887</v>
      </c>
      <c r="O67" s="2"/>
      <c r="P67" s="2"/>
    </row>
    <row r="68" spans="1:16" ht="13.2" customHeight="1" x14ac:dyDescent="0.25">
      <c r="A68" s="8" t="s">
        <v>10478</v>
      </c>
      <c r="B68" s="2" t="s">
        <v>13288</v>
      </c>
      <c r="C68" s="2"/>
      <c r="D68" s="2" t="s">
        <v>13178</v>
      </c>
      <c r="E68" s="2" t="s">
        <v>13179</v>
      </c>
      <c r="F68" s="2" t="s">
        <v>13204</v>
      </c>
      <c r="G68" s="2" t="s">
        <v>13205</v>
      </c>
      <c r="H68" s="2" t="s">
        <v>13191</v>
      </c>
      <c r="I68" s="8">
        <v>1</v>
      </c>
      <c r="J68" s="2" t="s">
        <v>13270</v>
      </c>
      <c r="K68" s="2"/>
      <c r="L68" s="2" t="s">
        <v>12970</v>
      </c>
      <c r="M68" s="2" t="s">
        <v>29</v>
      </c>
      <c r="N68" s="2" t="s">
        <v>2655</v>
      </c>
      <c r="O68" s="2"/>
      <c r="P68" s="2"/>
    </row>
    <row r="69" spans="1:16" ht="13.2" customHeight="1" x14ac:dyDescent="0.25">
      <c r="A69" s="8" t="s">
        <v>10481</v>
      </c>
      <c r="B69" s="2" t="s">
        <v>13289</v>
      </c>
      <c r="C69" s="2"/>
      <c r="D69" s="2" t="s">
        <v>13205</v>
      </c>
      <c r="E69" s="2" t="s">
        <v>13191</v>
      </c>
      <c r="F69" s="2" t="s">
        <v>13145</v>
      </c>
      <c r="G69" s="2" t="s">
        <v>13146</v>
      </c>
      <c r="H69" s="2" t="s">
        <v>13192</v>
      </c>
      <c r="I69" s="8">
        <v>3</v>
      </c>
      <c r="J69" s="2" t="s">
        <v>13290</v>
      </c>
      <c r="K69" s="2"/>
      <c r="L69" s="2" t="s">
        <v>12970</v>
      </c>
      <c r="M69" s="2" t="s">
        <v>29</v>
      </c>
      <c r="N69" s="2" t="s">
        <v>3887</v>
      </c>
      <c r="O69" s="2"/>
      <c r="P69" s="2"/>
    </row>
    <row r="70" spans="1:16" ht="13.2" customHeight="1" x14ac:dyDescent="0.25">
      <c r="A70" s="8" t="s">
        <v>10484</v>
      </c>
      <c r="B70" s="2" t="s">
        <v>13291</v>
      </c>
      <c r="C70" s="2"/>
      <c r="D70" s="2" t="s">
        <v>13146</v>
      </c>
      <c r="E70" s="2" t="s">
        <v>13192</v>
      </c>
      <c r="F70" s="2" t="s">
        <v>13176</v>
      </c>
      <c r="G70" s="2" t="s">
        <v>13177</v>
      </c>
      <c r="H70" s="2" t="s">
        <v>13178</v>
      </c>
      <c r="I70" s="8">
        <v>1</v>
      </c>
      <c r="J70" s="2" t="s">
        <v>13247</v>
      </c>
      <c r="K70" s="2"/>
      <c r="L70" s="2" t="s">
        <v>12970</v>
      </c>
      <c r="M70" s="2" t="s">
        <v>29</v>
      </c>
      <c r="N70" s="2" t="s">
        <v>3900</v>
      </c>
      <c r="O70" s="2"/>
      <c r="P70" s="2"/>
    </row>
    <row r="71" spans="1:16" ht="13.2" customHeight="1" x14ac:dyDescent="0.25">
      <c r="A71">
        <v>70</v>
      </c>
      <c r="B71" t="s">
        <v>13292</v>
      </c>
      <c r="D71" t="s">
        <v>13293</v>
      </c>
      <c r="E71" t="s">
        <v>13294</v>
      </c>
      <c r="F71" t="s">
        <v>13295</v>
      </c>
      <c r="G71" t="s">
        <v>13296</v>
      </c>
      <c r="H71" t="s">
        <v>13297</v>
      </c>
      <c r="I71" t="s">
        <v>84</v>
      </c>
      <c r="J71" t="s">
        <v>13298</v>
      </c>
      <c r="L71" t="s">
        <v>1645</v>
      </c>
      <c r="M71" t="s">
        <v>29</v>
      </c>
      <c r="N71" t="s">
        <v>13299</v>
      </c>
    </row>
    <row r="72" spans="1:16" ht="13.2" customHeight="1" x14ac:dyDescent="0.25">
      <c r="A72">
        <v>71</v>
      </c>
      <c r="B72" t="s">
        <v>13300</v>
      </c>
      <c r="D72" t="s">
        <v>3584</v>
      </c>
      <c r="E72" t="s">
        <v>13301</v>
      </c>
      <c r="F72" t="s">
        <v>5675</v>
      </c>
      <c r="G72" t="s">
        <v>2967</v>
      </c>
      <c r="H72" t="s">
        <v>2964</v>
      </c>
      <c r="I72" t="s">
        <v>84</v>
      </c>
      <c r="J72" t="s">
        <v>13302</v>
      </c>
      <c r="L72" t="s">
        <v>1645</v>
      </c>
      <c r="M72" t="s">
        <v>29</v>
      </c>
      <c r="N72" t="s">
        <v>13303</v>
      </c>
    </row>
    <row r="73" spans="1:16" ht="13.2" x14ac:dyDescent="0.25">
      <c r="A73">
        <v>72</v>
      </c>
      <c r="B73" t="s">
        <v>13304</v>
      </c>
      <c r="D73" t="s">
        <v>8279</v>
      </c>
      <c r="E73" t="s">
        <v>13305</v>
      </c>
      <c r="F73" t="s">
        <v>2392</v>
      </c>
      <c r="G73" t="s">
        <v>2250</v>
      </c>
      <c r="H73" t="s">
        <v>2254</v>
      </c>
      <c r="I73" t="s">
        <v>84</v>
      </c>
      <c r="J73" t="s">
        <v>13306</v>
      </c>
      <c r="L73" t="s">
        <v>1645</v>
      </c>
      <c r="M73" t="s">
        <v>29</v>
      </c>
      <c r="N73" t="s">
        <v>13307</v>
      </c>
    </row>
  </sheetData>
  <mergeCells count="1">
    <mergeCell ref="A1:F1"/>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42"/>
  <sheetViews>
    <sheetView workbookViewId="0"/>
  </sheetViews>
  <sheetFormatPr defaultRowHeight="13.2" x14ac:dyDescent="0.25"/>
  <cols>
    <col min="1" max="1" width="8" customWidth="1"/>
    <col min="2" max="2" width="45" customWidth="1"/>
    <col min="3" max="3" width="8" customWidth="1"/>
    <col min="4" max="8" width="30" customWidth="1"/>
    <col min="9" max="9" width="14" customWidth="1"/>
    <col min="10" max="10" width="60" customWidth="1"/>
    <col min="11" max="11" width="8" customWidth="1"/>
    <col min="12" max="12" width="25" customWidth="1"/>
    <col min="13" max="13" width="15" customWidth="1"/>
    <col min="14" max="14" width="30" customWidth="1"/>
  </cols>
  <sheetData>
    <row r="1" spans="1:14" ht="34.950000000000003" customHeight="1" x14ac:dyDescent="0.25">
      <c r="A1" s="51" t="str">
        <f>HYPERLINK("#gid=0", "🏠 กลับสู่หน้าแรก (Go to Home Page)")</f>
        <v>🏠 กลับสู่หน้าแรก (Go to Home Page)</v>
      </c>
      <c r="B1" s="49"/>
      <c r="C1" s="49"/>
      <c r="D1" s="49"/>
      <c r="E1" s="49"/>
      <c r="F1" s="49"/>
    </row>
    <row r="2" spans="1:14" ht="28.05" customHeight="1" x14ac:dyDescent="0.25">
      <c r="A2" s="44" t="s">
        <v>10</v>
      </c>
      <c r="B2" s="44" t="s">
        <v>11</v>
      </c>
      <c r="C2" s="44" t="s">
        <v>12</v>
      </c>
      <c r="D2" s="44" t="s">
        <v>13</v>
      </c>
      <c r="E2" s="44" t="s">
        <v>14</v>
      </c>
      <c r="F2" s="44" t="s">
        <v>15</v>
      </c>
      <c r="G2" s="44" t="s">
        <v>16</v>
      </c>
      <c r="H2" s="44" t="s">
        <v>17</v>
      </c>
      <c r="I2" s="44" t="s">
        <v>154</v>
      </c>
      <c r="J2" s="44" t="s">
        <v>19</v>
      </c>
      <c r="K2" s="44" t="s">
        <v>20</v>
      </c>
      <c r="L2" s="44" t="s">
        <v>81</v>
      </c>
      <c r="M2" s="44" t="s">
        <v>155</v>
      </c>
      <c r="N2" s="44" t="s">
        <v>23</v>
      </c>
    </row>
    <row r="3" spans="1:14" ht="64.95" customHeight="1" x14ac:dyDescent="0.75">
      <c r="A3" s="35">
        <v>1</v>
      </c>
      <c r="B3" s="34" t="s">
        <v>13308</v>
      </c>
      <c r="C3" s="45"/>
      <c r="D3" s="34" t="s">
        <v>13309</v>
      </c>
      <c r="E3" s="34" t="s">
        <v>13310</v>
      </c>
      <c r="F3" s="34" t="s">
        <v>13311</v>
      </c>
      <c r="G3" s="34" t="s">
        <v>13312</v>
      </c>
      <c r="H3" s="34" t="s">
        <v>13313</v>
      </c>
      <c r="I3" s="35">
        <v>1</v>
      </c>
      <c r="J3" s="34" t="s">
        <v>13314</v>
      </c>
      <c r="K3" s="45"/>
      <c r="L3" s="35" t="s">
        <v>13315</v>
      </c>
      <c r="M3" s="35" t="s">
        <v>29</v>
      </c>
      <c r="N3" s="34" t="s">
        <v>13316</v>
      </c>
    </row>
    <row r="4" spans="1:14" ht="64.95" customHeight="1" x14ac:dyDescent="0.75">
      <c r="A4" s="35">
        <v>2</v>
      </c>
      <c r="B4" s="34" t="s">
        <v>13317</v>
      </c>
      <c r="C4" s="45"/>
      <c r="D4" s="34" t="s">
        <v>13318</v>
      </c>
      <c r="E4" s="34" t="s">
        <v>13319</v>
      </c>
      <c r="F4" s="34" t="s">
        <v>13320</v>
      </c>
      <c r="G4" s="34" t="s">
        <v>13321</v>
      </c>
      <c r="H4" s="34" t="s">
        <v>13322</v>
      </c>
      <c r="I4" s="35">
        <v>1</v>
      </c>
      <c r="J4" s="34" t="s">
        <v>13323</v>
      </c>
      <c r="K4" s="45"/>
      <c r="L4" s="35" t="s">
        <v>13315</v>
      </c>
      <c r="M4" s="35" t="s">
        <v>29</v>
      </c>
      <c r="N4" s="34" t="s">
        <v>13324</v>
      </c>
    </row>
    <row r="5" spans="1:14" ht="64.95" customHeight="1" x14ac:dyDescent="0.75">
      <c r="A5" s="35">
        <v>3</v>
      </c>
      <c r="B5" s="34" t="s">
        <v>13325</v>
      </c>
      <c r="C5" s="45"/>
      <c r="D5" s="34" t="s">
        <v>1379</v>
      </c>
      <c r="E5" s="34" t="s">
        <v>1380</v>
      </c>
      <c r="F5" s="34" t="s">
        <v>13326</v>
      </c>
      <c r="G5" s="34" t="s">
        <v>1131</v>
      </c>
      <c r="H5" s="34" t="s">
        <v>2254</v>
      </c>
      <c r="I5" s="35">
        <v>1</v>
      </c>
      <c r="J5" s="34" t="s">
        <v>13327</v>
      </c>
      <c r="K5" s="45"/>
      <c r="L5" s="35" t="s">
        <v>13328</v>
      </c>
      <c r="M5" s="35" t="s">
        <v>29</v>
      </c>
      <c r="N5" s="34" t="s">
        <v>13329</v>
      </c>
    </row>
    <row r="6" spans="1:14" ht="64.95" customHeight="1" x14ac:dyDescent="0.75">
      <c r="A6" s="35">
        <v>4</v>
      </c>
      <c r="B6" s="34" t="s">
        <v>13330</v>
      </c>
      <c r="C6" s="45"/>
      <c r="D6" s="34" t="s">
        <v>13331</v>
      </c>
      <c r="E6" s="34" t="s">
        <v>13332</v>
      </c>
      <c r="F6" s="34" t="s">
        <v>13333</v>
      </c>
      <c r="G6" s="34" t="s">
        <v>13334</v>
      </c>
      <c r="H6" s="34" t="s">
        <v>13335</v>
      </c>
      <c r="I6" s="35">
        <v>1</v>
      </c>
      <c r="J6" s="34" t="s">
        <v>13336</v>
      </c>
      <c r="K6" s="45"/>
      <c r="L6" s="35" t="s">
        <v>13328</v>
      </c>
      <c r="M6" s="35" t="s">
        <v>29</v>
      </c>
      <c r="N6" s="34" t="s">
        <v>13337</v>
      </c>
    </row>
    <row r="7" spans="1:14" ht="64.95" customHeight="1" x14ac:dyDescent="0.75">
      <c r="A7" s="35">
        <v>5</v>
      </c>
      <c r="B7" s="34" t="s">
        <v>13338</v>
      </c>
      <c r="C7" s="45"/>
      <c r="D7" s="34" t="s">
        <v>13339</v>
      </c>
      <c r="E7" s="34" t="s">
        <v>13340</v>
      </c>
      <c r="F7" s="34" t="s">
        <v>3176</v>
      </c>
      <c r="G7" s="34" t="s">
        <v>13341</v>
      </c>
      <c r="H7" s="34" t="s">
        <v>13342</v>
      </c>
      <c r="I7" s="35">
        <v>1</v>
      </c>
      <c r="J7" s="34" t="s">
        <v>13343</v>
      </c>
      <c r="K7" s="45"/>
      <c r="L7" s="35" t="s">
        <v>13344</v>
      </c>
      <c r="M7" s="35" t="s">
        <v>29</v>
      </c>
      <c r="N7" s="34" t="s">
        <v>13345</v>
      </c>
    </row>
    <row r="8" spans="1:14" ht="64.95" customHeight="1" x14ac:dyDescent="0.75">
      <c r="A8" s="35">
        <v>6</v>
      </c>
      <c r="B8" s="34" t="s">
        <v>13346</v>
      </c>
      <c r="C8" s="45"/>
      <c r="D8" s="34" t="s">
        <v>13347</v>
      </c>
      <c r="E8" s="34" t="s">
        <v>13348</v>
      </c>
      <c r="F8" s="34" t="s">
        <v>13349</v>
      </c>
      <c r="G8" s="34" t="s">
        <v>13350</v>
      </c>
      <c r="H8" s="34" t="s">
        <v>13351</v>
      </c>
      <c r="I8" s="35">
        <v>1</v>
      </c>
      <c r="J8" s="34" t="s">
        <v>13352</v>
      </c>
      <c r="K8" s="45"/>
      <c r="L8" s="35" t="s">
        <v>13344</v>
      </c>
      <c r="M8" s="35" t="s">
        <v>29</v>
      </c>
      <c r="N8" s="34" t="s">
        <v>13353</v>
      </c>
    </row>
    <row r="9" spans="1:14" ht="64.95" customHeight="1" x14ac:dyDescent="0.75">
      <c r="A9" s="35">
        <v>7</v>
      </c>
      <c r="B9" s="34" t="s">
        <v>13354</v>
      </c>
      <c r="C9" s="45"/>
      <c r="D9" s="34" t="s">
        <v>13355</v>
      </c>
      <c r="E9" s="34" t="s">
        <v>13356</v>
      </c>
      <c r="F9" s="34" t="s">
        <v>13357</v>
      </c>
      <c r="G9" s="34" t="s">
        <v>13358</v>
      </c>
      <c r="H9" s="34" t="s">
        <v>6613</v>
      </c>
      <c r="I9" s="35">
        <v>1</v>
      </c>
      <c r="J9" s="34" t="s">
        <v>13359</v>
      </c>
      <c r="K9" s="45"/>
      <c r="L9" s="35" t="s">
        <v>13360</v>
      </c>
      <c r="M9" s="35" t="s">
        <v>29</v>
      </c>
      <c r="N9" s="34" t="s">
        <v>13361</v>
      </c>
    </row>
    <row r="10" spans="1:14" ht="64.95" customHeight="1" x14ac:dyDescent="0.75">
      <c r="A10" s="35">
        <v>8</v>
      </c>
      <c r="B10" s="34" t="s">
        <v>13362</v>
      </c>
      <c r="C10" s="45"/>
      <c r="D10" s="34" t="s">
        <v>13363</v>
      </c>
      <c r="E10" s="34" t="s">
        <v>13364</v>
      </c>
      <c r="F10" s="34" t="s">
        <v>13365</v>
      </c>
      <c r="G10" s="34" t="s">
        <v>13366</v>
      </c>
      <c r="H10" s="34" t="s">
        <v>13367</v>
      </c>
      <c r="I10" s="35">
        <v>1</v>
      </c>
      <c r="J10" s="34" t="s">
        <v>13368</v>
      </c>
      <c r="K10" s="45"/>
      <c r="L10" s="35" t="s">
        <v>13360</v>
      </c>
      <c r="M10" s="35" t="s">
        <v>29</v>
      </c>
      <c r="N10" s="34" t="s">
        <v>13369</v>
      </c>
    </row>
    <row r="11" spans="1:14" ht="64.95" customHeight="1" x14ac:dyDescent="0.75">
      <c r="A11" s="35">
        <v>9</v>
      </c>
      <c r="B11" s="34" t="s">
        <v>13370</v>
      </c>
      <c r="C11" s="45"/>
      <c r="D11" s="34" t="s">
        <v>13371</v>
      </c>
      <c r="E11" s="34" t="s">
        <v>13372</v>
      </c>
      <c r="F11" s="34" t="s">
        <v>13356</v>
      </c>
      <c r="G11" s="34" t="s">
        <v>1131</v>
      </c>
      <c r="H11" s="34" t="s">
        <v>13373</v>
      </c>
      <c r="I11" s="35">
        <v>1</v>
      </c>
      <c r="J11" s="34" t="s">
        <v>13374</v>
      </c>
      <c r="K11" s="45"/>
      <c r="L11" s="35" t="s">
        <v>13375</v>
      </c>
      <c r="M11" s="35" t="s">
        <v>29</v>
      </c>
      <c r="N11" s="34" t="s">
        <v>13376</v>
      </c>
    </row>
    <row r="12" spans="1:14" ht="64.95" customHeight="1" x14ac:dyDescent="0.75">
      <c r="A12" s="35">
        <v>10</v>
      </c>
      <c r="B12" s="34" t="s">
        <v>13377</v>
      </c>
      <c r="C12" s="45"/>
      <c r="D12" s="34" t="s">
        <v>13378</v>
      </c>
      <c r="E12" s="34" t="s">
        <v>13379</v>
      </c>
      <c r="F12" s="34" t="s">
        <v>13380</v>
      </c>
      <c r="G12" s="34" t="s">
        <v>13381</v>
      </c>
      <c r="H12" s="34" t="s">
        <v>13382</v>
      </c>
      <c r="I12" s="35">
        <v>1</v>
      </c>
      <c r="J12" s="34" t="s">
        <v>13383</v>
      </c>
      <c r="K12" s="45"/>
      <c r="L12" s="35" t="s">
        <v>13375</v>
      </c>
      <c r="M12" s="35" t="s">
        <v>29</v>
      </c>
      <c r="N12" s="34" t="s">
        <v>13384</v>
      </c>
    </row>
    <row r="13" spans="1:14" ht="64.95" customHeight="1" x14ac:dyDescent="0.75">
      <c r="A13" s="35">
        <v>11</v>
      </c>
      <c r="B13" s="34" t="s">
        <v>13385</v>
      </c>
      <c r="C13" s="45"/>
      <c r="D13" s="34" t="s">
        <v>2663</v>
      </c>
      <c r="E13" s="34" t="s">
        <v>1889</v>
      </c>
      <c r="F13" s="34" t="s">
        <v>2358</v>
      </c>
      <c r="G13" s="34" t="s">
        <v>13386</v>
      </c>
      <c r="H13" s="34" t="s">
        <v>531</v>
      </c>
      <c r="I13" s="35">
        <v>1</v>
      </c>
      <c r="J13" s="34" t="s">
        <v>13387</v>
      </c>
      <c r="K13" s="45"/>
      <c r="L13" s="35" t="s">
        <v>13388</v>
      </c>
      <c r="M13" s="35" t="s">
        <v>29</v>
      </c>
      <c r="N13" s="34" t="s">
        <v>13389</v>
      </c>
    </row>
    <row r="14" spans="1:14" ht="64.95" customHeight="1" x14ac:dyDescent="0.75">
      <c r="A14" s="35">
        <v>12</v>
      </c>
      <c r="B14" s="34" t="s">
        <v>13390</v>
      </c>
      <c r="C14" s="45"/>
      <c r="D14" s="34" t="s">
        <v>13391</v>
      </c>
      <c r="E14" s="34" t="s">
        <v>13392</v>
      </c>
      <c r="F14" s="34" t="s">
        <v>13393</v>
      </c>
      <c r="G14" s="34" t="s">
        <v>13394</v>
      </c>
      <c r="H14" s="34" t="s">
        <v>13395</v>
      </c>
      <c r="I14" s="35">
        <v>1</v>
      </c>
      <c r="J14" s="34" t="s">
        <v>13396</v>
      </c>
      <c r="K14" s="45"/>
      <c r="L14" s="35" t="s">
        <v>13388</v>
      </c>
      <c r="M14" s="35" t="s">
        <v>29</v>
      </c>
      <c r="N14" s="34" t="s">
        <v>13397</v>
      </c>
    </row>
    <row r="15" spans="1:14" ht="64.95" customHeight="1" x14ac:dyDescent="0.75">
      <c r="A15" s="35">
        <v>13</v>
      </c>
      <c r="B15" s="34" t="s">
        <v>13398</v>
      </c>
      <c r="C15" s="45"/>
      <c r="D15" s="34" t="s">
        <v>13399</v>
      </c>
      <c r="E15" s="34" t="s">
        <v>13357</v>
      </c>
      <c r="F15" s="34" t="s">
        <v>13400</v>
      </c>
      <c r="G15" s="34" t="s">
        <v>6667</v>
      </c>
      <c r="H15" s="34" t="s">
        <v>13401</v>
      </c>
      <c r="I15" s="35">
        <v>1</v>
      </c>
      <c r="J15" s="34" t="s">
        <v>13402</v>
      </c>
      <c r="K15" s="45"/>
      <c r="L15" s="35" t="s">
        <v>13403</v>
      </c>
      <c r="M15" s="35" t="s">
        <v>29</v>
      </c>
      <c r="N15" s="34" t="s">
        <v>13404</v>
      </c>
    </row>
    <row r="16" spans="1:14" ht="64.95" customHeight="1" x14ac:dyDescent="0.75">
      <c r="A16" s="35">
        <v>14</v>
      </c>
      <c r="B16" s="34" t="s">
        <v>13405</v>
      </c>
      <c r="C16" s="45"/>
      <c r="D16" s="34" t="s">
        <v>13406</v>
      </c>
      <c r="E16" s="34" t="s">
        <v>13407</v>
      </c>
      <c r="F16" s="34" t="s">
        <v>13408</v>
      </c>
      <c r="G16" s="34" t="s">
        <v>13409</v>
      </c>
      <c r="H16" s="34" t="s">
        <v>13410</v>
      </c>
      <c r="I16" s="35">
        <v>1</v>
      </c>
      <c r="J16" s="34" t="s">
        <v>13411</v>
      </c>
      <c r="K16" s="45"/>
      <c r="L16" s="35" t="s">
        <v>13412</v>
      </c>
      <c r="M16" s="35" t="s">
        <v>29</v>
      </c>
      <c r="N16" s="34" t="s">
        <v>13413</v>
      </c>
    </row>
    <row r="17" spans="1:14" ht="64.95" customHeight="1" x14ac:dyDescent="0.75">
      <c r="A17" s="35">
        <v>15</v>
      </c>
      <c r="B17" s="34" t="s">
        <v>13414</v>
      </c>
      <c r="C17" s="45"/>
      <c r="D17" s="34" t="s">
        <v>13415</v>
      </c>
      <c r="E17" s="34" t="s">
        <v>13416</v>
      </c>
      <c r="F17" s="34" t="s">
        <v>13417</v>
      </c>
      <c r="G17" s="34" t="s">
        <v>13418</v>
      </c>
      <c r="H17" s="34" t="s">
        <v>13419</v>
      </c>
      <c r="I17" s="35">
        <v>1</v>
      </c>
      <c r="J17" s="34" t="s">
        <v>13420</v>
      </c>
      <c r="K17" s="45"/>
      <c r="L17" s="35" t="s">
        <v>13412</v>
      </c>
      <c r="M17" s="35" t="s">
        <v>29</v>
      </c>
      <c r="N17" s="34" t="s">
        <v>13421</v>
      </c>
    </row>
    <row r="18" spans="1:14" ht="64.95" customHeight="1" x14ac:dyDescent="0.75">
      <c r="A18" s="35">
        <v>16</v>
      </c>
      <c r="B18" s="34" t="s">
        <v>13422</v>
      </c>
      <c r="C18" s="45"/>
      <c r="D18" s="34" t="s">
        <v>13423</v>
      </c>
      <c r="E18" s="34" t="s">
        <v>13424</v>
      </c>
      <c r="F18" s="34" t="s">
        <v>13425</v>
      </c>
      <c r="G18" s="34" t="s">
        <v>13426</v>
      </c>
      <c r="H18" s="34" t="s">
        <v>13427</v>
      </c>
      <c r="I18" s="35">
        <v>1</v>
      </c>
      <c r="J18" s="34" t="s">
        <v>13428</v>
      </c>
      <c r="K18" s="45"/>
      <c r="L18" s="35" t="s">
        <v>13429</v>
      </c>
      <c r="M18" s="35" t="s">
        <v>29</v>
      </c>
      <c r="N18" s="34" t="s">
        <v>13430</v>
      </c>
    </row>
    <row r="19" spans="1:14" ht="64.95" customHeight="1" x14ac:dyDescent="0.75">
      <c r="A19" s="35">
        <v>17</v>
      </c>
      <c r="B19" s="34" t="s">
        <v>13431</v>
      </c>
      <c r="C19" s="45"/>
      <c r="D19" s="34" t="s">
        <v>13432</v>
      </c>
      <c r="E19" s="34" t="s">
        <v>13433</v>
      </c>
      <c r="F19" s="34" t="s">
        <v>13434</v>
      </c>
      <c r="G19" s="34" t="s">
        <v>13435</v>
      </c>
      <c r="H19" s="34" t="s">
        <v>13436</v>
      </c>
      <c r="I19" s="35">
        <v>1</v>
      </c>
      <c r="J19" s="34" t="s">
        <v>13437</v>
      </c>
      <c r="K19" s="45"/>
      <c r="L19" s="35" t="s">
        <v>13429</v>
      </c>
      <c r="M19" s="35" t="s">
        <v>29</v>
      </c>
      <c r="N19" s="34" t="s">
        <v>13438</v>
      </c>
    </row>
    <row r="20" spans="1:14" ht="64.95" customHeight="1" x14ac:dyDescent="0.75">
      <c r="A20" s="35">
        <v>18</v>
      </c>
      <c r="B20" s="34" t="s">
        <v>13439</v>
      </c>
      <c r="C20" s="45"/>
      <c r="D20" s="34" t="s">
        <v>13440</v>
      </c>
      <c r="E20" s="34" t="s">
        <v>13441</v>
      </c>
      <c r="F20" s="34" t="s">
        <v>13442</v>
      </c>
      <c r="G20" s="34" t="s">
        <v>13443</v>
      </c>
      <c r="H20" s="34" t="s">
        <v>13444</v>
      </c>
      <c r="I20" s="35">
        <v>1</v>
      </c>
      <c r="J20" s="34" t="s">
        <v>13445</v>
      </c>
      <c r="K20" s="45"/>
      <c r="L20" s="35" t="s">
        <v>13446</v>
      </c>
      <c r="M20" s="35" t="s">
        <v>29</v>
      </c>
      <c r="N20" s="34" t="s">
        <v>13447</v>
      </c>
    </row>
    <row r="21" spans="1:14" ht="64.95" customHeight="1" x14ac:dyDescent="0.75">
      <c r="A21" s="35">
        <v>19</v>
      </c>
      <c r="B21" s="34" t="s">
        <v>13448</v>
      </c>
      <c r="C21" s="45"/>
      <c r="D21" s="34" t="s">
        <v>13449</v>
      </c>
      <c r="E21" s="34" t="s">
        <v>13450</v>
      </c>
      <c r="F21" s="34" t="s">
        <v>13451</v>
      </c>
      <c r="G21" s="34" t="s">
        <v>13452</v>
      </c>
      <c r="H21" s="34" t="s">
        <v>13453</v>
      </c>
      <c r="I21" s="35">
        <v>1</v>
      </c>
      <c r="J21" s="34" t="s">
        <v>13454</v>
      </c>
      <c r="K21" s="45"/>
      <c r="L21" s="35" t="s">
        <v>13455</v>
      </c>
      <c r="M21" s="35" t="s">
        <v>29</v>
      </c>
      <c r="N21" s="34" t="s">
        <v>13456</v>
      </c>
    </row>
    <row r="22" spans="1:14" ht="64.95" customHeight="1" x14ac:dyDescent="0.75">
      <c r="A22" s="35">
        <v>20</v>
      </c>
      <c r="B22" s="34" t="s">
        <v>13457</v>
      </c>
      <c r="C22" s="45"/>
      <c r="D22" s="34" t="s">
        <v>13458</v>
      </c>
      <c r="E22" s="34" t="s">
        <v>13459</v>
      </c>
      <c r="F22" s="34" t="s">
        <v>13460</v>
      </c>
      <c r="G22" s="34" t="s">
        <v>13461</v>
      </c>
      <c r="H22" s="34" t="s">
        <v>13462</v>
      </c>
      <c r="I22" s="35">
        <v>1</v>
      </c>
      <c r="J22" s="34" t="s">
        <v>13463</v>
      </c>
      <c r="K22" s="45"/>
      <c r="L22" s="35" t="s">
        <v>13455</v>
      </c>
      <c r="M22" s="35" t="s">
        <v>29</v>
      </c>
      <c r="N22" s="34" t="s">
        <v>13464</v>
      </c>
    </row>
    <row r="23" spans="1:14" ht="64.95" customHeight="1" x14ac:dyDescent="0.75">
      <c r="A23" s="35">
        <v>21</v>
      </c>
      <c r="B23" s="34" t="s">
        <v>13465</v>
      </c>
      <c r="C23" s="45"/>
      <c r="D23" s="34" t="s">
        <v>13466</v>
      </c>
      <c r="E23" s="34" t="s">
        <v>13467</v>
      </c>
      <c r="F23" s="34" t="s">
        <v>13468</v>
      </c>
      <c r="G23" s="34" t="s">
        <v>13469</v>
      </c>
      <c r="H23" s="34" t="s">
        <v>13470</v>
      </c>
      <c r="I23" s="35">
        <v>1</v>
      </c>
      <c r="J23" s="34" t="s">
        <v>13471</v>
      </c>
      <c r="K23" s="45"/>
      <c r="L23" s="35" t="s">
        <v>13472</v>
      </c>
      <c r="M23" s="35" t="s">
        <v>29</v>
      </c>
      <c r="N23" s="34" t="s">
        <v>13473</v>
      </c>
    </row>
    <row r="24" spans="1:14" ht="64.95" customHeight="1" x14ac:dyDescent="0.75">
      <c r="A24" s="35">
        <v>22</v>
      </c>
      <c r="B24" s="34" t="s">
        <v>13474</v>
      </c>
      <c r="C24" s="45"/>
      <c r="D24" s="34" t="s">
        <v>13475</v>
      </c>
      <c r="E24" s="34" t="s">
        <v>13476</v>
      </c>
      <c r="F24" s="34" t="s">
        <v>13477</v>
      </c>
      <c r="G24" s="34" t="s">
        <v>13478</v>
      </c>
      <c r="H24" s="34" t="s">
        <v>13479</v>
      </c>
      <c r="I24" s="35">
        <v>1</v>
      </c>
      <c r="J24" s="34" t="s">
        <v>13480</v>
      </c>
      <c r="K24" s="45"/>
      <c r="L24" s="35" t="s">
        <v>13472</v>
      </c>
      <c r="M24" s="35" t="s">
        <v>29</v>
      </c>
      <c r="N24" s="34" t="s">
        <v>13481</v>
      </c>
    </row>
    <row r="25" spans="1:14" ht="64.95" customHeight="1" x14ac:dyDescent="0.75">
      <c r="A25" s="35">
        <v>23</v>
      </c>
      <c r="B25" s="34" t="s">
        <v>13482</v>
      </c>
      <c r="C25" s="45"/>
      <c r="D25" s="34" t="s">
        <v>13483</v>
      </c>
      <c r="E25" s="34" t="s">
        <v>13484</v>
      </c>
      <c r="F25" s="34" t="s">
        <v>13485</v>
      </c>
      <c r="G25" s="34" t="s">
        <v>13486</v>
      </c>
      <c r="H25" s="34" t="s">
        <v>13487</v>
      </c>
      <c r="I25" s="35">
        <v>1</v>
      </c>
      <c r="J25" s="34" t="s">
        <v>13488</v>
      </c>
      <c r="K25" s="45"/>
      <c r="L25" s="35" t="s">
        <v>13489</v>
      </c>
      <c r="M25" s="35" t="s">
        <v>29</v>
      </c>
      <c r="N25" s="34" t="s">
        <v>13490</v>
      </c>
    </row>
    <row r="26" spans="1:14" ht="64.95" customHeight="1" x14ac:dyDescent="0.75">
      <c r="A26" s="35">
        <v>24</v>
      </c>
      <c r="B26" s="34" t="s">
        <v>13491</v>
      </c>
      <c r="C26" s="45"/>
      <c r="D26" s="34" t="s">
        <v>13492</v>
      </c>
      <c r="E26" s="34" t="s">
        <v>13493</v>
      </c>
      <c r="F26" s="34" t="s">
        <v>13494</v>
      </c>
      <c r="G26" s="34" t="s">
        <v>13495</v>
      </c>
      <c r="H26" s="34" t="s">
        <v>13496</v>
      </c>
      <c r="I26" s="35">
        <v>1</v>
      </c>
      <c r="J26" s="34" t="s">
        <v>13497</v>
      </c>
      <c r="K26" s="45"/>
      <c r="L26" s="35" t="s">
        <v>13498</v>
      </c>
      <c r="M26" s="35" t="s">
        <v>29</v>
      </c>
      <c r="N26" s="34" t="s">
        <v>13499</v>
      </c>
    </row>
    <row r="27" spans="1:14" ht="64.95" customHeight="1" x14ac:dyDescent="0.75">
      <c r="A27" s="35">
        <v>25</v>
      </c>
      <c r="B27" s="34" t="s">
        <v>13500</v>
      </c>
      <c r="C27" s="45"/>
      <c r="D27" s="34" t="s">
        <v>13501</v>
      </c>
      <c r="E27" s="34" t="s">
        <v>13502</v>
      </c>
      <c r="F27" s="34" t="s">
        <v>13503</v>
      </c>
      <c r="G27" s="34" t="s">
        <v>13504</v>
      </c>
      <c r="H27" s="34" t="s">
        <v>13505</v>
      </c>
      <c r="I27" s="35">
        <v>1</v>
      </c>
      <c r="J27" s="34" t="s">
        <v>13506</v>
      </c>
      <c r="K27" s="45"/>
      <c r="L27" s="35" t="s">
        <v>6541</v>
      </c>
      <c r="M27" s="35" t="s">
        <v>29</v>
      </c>
      <c r="N27" s="34" t="s">
        <v>13507</v>
      </c>
    </row>
    <row r="28" spans="1:14" ht="64.95" customHeight="1" x14ac:dyDescent="0.75">
      <c r="A28" s="35">
        <v>26</v>
      </c>
      <c r="B28" s="34" t="s">
        <v>13508</v>
      </c>
      <c r="C28" s="45"/>
      <c r="D28" s="34" t="s">
        <v>13509</v>
      </c>
      <c r="E28" s="34" t="s">
        <v>13510</v>
      </c>
      <c r="F28" s="34" t="s">
        <v>4500</v>
      </c>
      <c r="G28" s="34" t="s">
        <v>13511</v>
      </c>
      <c r="H28" s="34" t="s">
        <v>107</v>
      </c>
      <c r="I28" s="35">
        <v>1</v>
      </c>
      <c r="J28" s="34" t="s">
        <v>13512</v>
      </c>
      <c r="K28" s="45"/>
      <c r="L28" s="35" t="s">
        <v>13513</v>
      </c>
      <c r="M28" s="35" t="s">
        <v>29</v>
      </c>
      <c r="N28" s="34" t="s">
        <v>13514</v>
      </c>
    </row>
    <row r="29" spans="1:14" ht="64.95" customHeight="1" x14ac:dyDescent="0.75">
      <c r="A29" s="35">
        <v>27</v>
      </c>
      <c r="B29" s="34" t="s">
        <v>13515</v>
      </c>
      <c r="C29" s="45"/>
      <c r="D29" s="34" t="s">
        <v>13516</v>
      </c>
      <c r="E29" s="34" t="s">
        <v>13517</v>
      </c>
      <c r="F29" s="34" t="s">
        <v>13518</v>
      </c>
      <c r="G29" s="34" t="s">
        <v>13519</v>
      </c>
      <c r="H29" s="34" t="s">
        <v>13520</v>
      </c>
      <c r="I29" s="35">
        <v>1</v>
      </c>
      <c r="J29" s="34" t="s">
        <v>13521</v>
      </c>
      <c r="K29" s="45"/>
      <c r="L29" s="35" t="s">
        <v>13522</v>
      </c>
      <c r="M29" s="35" t="s">
        <v>29</v>
      </c>
      <c r="N29" s="34" t="s">
        <v>13523</v>
      </c>
    </row>
    <row r="30" spans="1:14" ht="64.95" customHeight="1" x14ac:dyDescent="0.75">
      <c r="A30" s="35">
        <v>28</v>
      </c>
      <c r="B30" s="34" t="s">
        <v>13524</v>
      </c>
      <c r="C30" s="45"/>
      <c r="D30" s="34" t="s">
        <v>13525</v>
      </c>
      <c r="E30" s="34" t="s">
        <v>13526</v>
      </c>
      <c r="F30" s="34" t="s">
        <v>13527</v>
      </c>
      <c r="G30" s="34" t="s">
        <v>13528</v>
      </c>
      <c r="H30" s="34" t="s">
        <v>13529</v>
      </c>
      <c r="I30" s="35">
        <v>1</v>
      </c>
      <c r="J30" s="34" t="s">
        <v>13530</v>
      </c>
      <c r="K30" s="45"/>
      <c r="L30" s="35" t="s">
        <v>13531</v>
      </c>
      <c r="M30" s="35" t="s">
        <v>29</v>
      </c>
      <c r="N30" s="34" t="s">
        <v>13532</v>
      </c>
    </row>
    <row r="31" spans="1:14" ht="64.95" customHeight="1" x14ac:dyDescent="0.75">
      <c r="A31" s="35">
        <v>29</v>
      </c>
      <c r="B31" s="34" t="s">
        <v>13533</v>
      </c>
      <c r="C31" s="45"/>
      <c r="D31" s="34" t="s">
        <v>13534</v>
      </c>
      <c r="E31" s="34" t="s">
        <v>12548</v>
      </c>
      <c r="F31" s="34" t="s">
        <v>13535</v>
      </c>
      <c r="G31" s="34" t="s">
        <v>13536</v>
      </c>
      <c r="H31" s="34" t="s">
        <v>13537</v>
      </c>
      <c r="I31" s="35">
        <v>1</v>
      </c>
      <c r="J31" s="34" t="s">
        <v>13538</v>
      </c>
      <c r="K31" s="45"/>
      <c r="L31" s="35" t="s">
        <v>13539</v>
      </c>
      <c r="M31" s="35" t="s">
        <v>29</v>
      </c>
      <c r="N31" s="34" t="s">
        <v>13540</v>
      </c>
    </row>
    <row r="32" spans="1:14" ht="64.95" customHeight="1" x14ac:dyDescent="0.75">
      <c r="A32" s="35">
        <v>30</v>
      </c>
      <c r="B32" s="34" t="s">
        <v>13541</v>
      </c>
      <c r="C32" s="45"/>
      <c r="D32" s="34" t="s">
        <v>3177</v>
      </c>
      <c r="E32" s="34" t="s">
        <v>1913</v>
      </c>
      <c r="F32" s="34" t="s">
        <v>13542</v>
      </c>
      <c r="G32" s="34" t="s">
        <v>1380</v>
      </c>
      <c r="H32" s="34" t="s">
        <v>1379</v>
      </c>
      <c r="I32" s="35">
        <v>1</v>
      </c>
      <c r="J32" s="34" t="s">
        <v>13543</v>
      </c>
      <c r="K32" s="45"/>
      <c r="L32" s="35" t="s">
        <v>13544</v>
      </c>
      <c r="M32" s="35" t="s">
        <v>29</v>
      </c>
      <c r="N32" s="34" t="s">
        <v>13545</v>
      </c>
    </row>
    <row r="33" spans="1:14" ht="64.95" customHeight="1" x14ac:dyDescent="0.75">
      <c r="A33" s="35">
        <v>31</v>
      </c>
      <c r="B33" s="34" t="s">
        <v>13546</v>
      </c>
      <c r="C33" s="45"/>
      <c r="D33" s="34" t="s">
        <v>13547</v>
      </c>
      <c r="E33" s="34" t="s">
        <v>13548</v>
      </c>
      <c r="F33" s="34" t="s">
        <v>13549</v>
      </c>
      <c r="G33" s="34" t="s">
        <v>13550</v>
      </c>
      <c r="H33" s="34" t="s">
        <v>13551</v>
      </c>
      <c r="I33" s="35">
        <v>1</v>
      </c>
      <c r="J33" s="34" t="s">
        <v>13552</v>
      </c>
      <c r="K33" s="45"/>
      <c r="L33" s="35" t="s">
        <v>13455</v>
      </c>
      <c r="M33" s="35" t="s">
        <v>29</v>
      </c>
      <c r="N33" s="34" t="s">
        <v>13553</v>
      </c>
    </row>
    <row r="34" spans="1:14" ht="64.95" customHeight="1" x14ac:dyDescent="0.75">
      <c r="A34" s="35">
        <v>32</v>
      </c>
      <c r="B34" s="34" t="s">
        <v>13554</v>
      </c>
      <c r="C34" s="45"/>
      <c r="D34" s="34" t="s">
        <v>13555</v>
      </c>
      <c r="E34" s="34" t="s">
        <v>13556</v>
      </c>
      <c r="F34" s="34" t="s">
        <v>13557</v>
      </c>
      <c r="G34" s="34" t="s">
        <v>13558</v>
      </c>
      <c r="H34" s="34" t="s">
        <v>13559</v>
      </c>
      <c r="I34" s="35">
        <v>1</v>
      </c>
      <c r="J34" s="34" t="s">
        <v>13560</v>
      </c>
      <c r="K34" s="45"/>
      <c r="L34" s="35" t="s">
        <v>13360</v>
      </c>
      <c r="M34" s="35" t="s">
        <v>29</v>
      </c>
      <c r="N34" s="34" t="s">
        <v>13561</v>
      </c>
    </row>
    <row r="35" spans="1:14" ht="64.95" customHeight="1" x14ac:dyDescent="0.75">
      <c r="A35" s="35">
        <v>33</v>
      </c>
      <c r="B35" s="34" t="s">
        <v>13562</v>
      </c>
      <c r="C35" s="45"/>
      <c r="D35" s="34" t="s">
        <v>13563</v>
      </c>
      <c r="E35" s="34" t="s">
        <v>2254</v>
      </c>
      <c r="F35" s="34" t="s">
        <v>12973</v>
      </c>
      <c r="G35" s="34" t="s">
        <v>1380</v>
      </c>
      <c r="H35" s="34" t="s">
        <v>13356</v>
      </c>
      <c r="I35" s="35">
        <v>1</v>
      </c>
      <c r="J35" s="34" t="s">
        <v>13564</v>
      </c>
      <c r="K35" s="45"/>
      <c r="L35" s="35" t="s">
        <v>13565</v>
      </c>
      <c r="M35" s="35" t="s">
        <v>29</v>
      </c>
      <c r="N35" s="34" t="s">
        <v>13566</v>
      </c>
    </row>
    <row r="36" spans="1:14" ht="64.95" customHeight="1" x14ac:dyDescent="0.75">
      <c r="A36" s="35">
        <v>34</v>
      </c>
      <c r="B36" s="34" t="s">
        <v>13567</v>
      </c>
      <c r="C36" s="45"/>
      <c r="D36" s="34" t="s">
        <v>13568</v>
      </c>
      <c r="E36" s="34" t="s">
        <v>13569</v>
      </c>
      <c r="F36" s="34" t="s">
        <v>13570</v>
      </c>
      <c r="G36" s="34" t="s">
        <v>13571</v>
      </c>
      <c r="H36" s="34" t="s">
        <v>13572</v>
      </c>
      <c r="I36" s="35">
        <v>1</v>
      </c>
      <c r="J36" s="34" t="s">
        <v>13573</v>
      </c>
      <c r="K36" s="45"/>
      <c r="L36" s="35" t="s">
        <v>13574</v>
      </c>
      <c r="M36" s="35" t="s">
        <v>29</v>
      </c>
      <c r="N36" s="34" t="s">
        <v>13575</v>
      </c>
    </row>
    <row r="37" spans="1:14" ht="64.95" customHeight="1" x14ac:dyDescent="0.75">
      <c r="A37" s="35">
        <v>35</v>
      </c>
      <c r="B37" s="34" t="s">
        <v>13576</v>
      </c>
      <c r="C37" s="45"/>
      <c r="D37" s="34" t="s">
        <v>13577</v>
      </c>
      <c r="E37" s="34" t="s">
        <v>1131</v>
      </c>
      <c r="F37" s="34" t="s">
        <v>13578</v>
      </c>
      <c r="G37" s="34" t="s">
        <v>1912</v>
      </c>
      <c r="H37" s="34" t="s">
        <v>2328</v>
      </c>
      <c r="I37" s="35">
        <v>1</v>
      </c>
      <c r="J37" s="34" t="s">
        <v>13579</v>
      </c>
      <c r="K37" s="45"/>
      <c r="L37" s="35" t="s">
        <v>13580</v>
      </c>
      <c r="M37" s="35" t="s">
        <v>29</v>
      </c>
      <c r="N37" s="34" t="s">
        <v>13581</v>
      </c>
    </row>
    <row r="38" spans="1:14" ht="64.95" customHeight="1" x14ac:dyDescent="0.75">
      <c r="A38" s="35">
        <v>36</v>
      </c>
      <c r="B38" s="34" t="s">
        <v>13582</v>
      </c>
      <c r="C38" s="45"/>
      <c r="D38" s="34" t="s">
        <v>13583</v>
      </c>
      <c r="E38" s="34" t="s">
        <v>13584</v>
      </c>
      <c r="F38" s="34" t="s">
        <v>13585</v>
      </c>
      <c r="G38" s="34" t="s">
        <v>13586</v>
      </c>
      <c r="H38" s="34" t="s">
        <v>13587</v>
      </c>
      <c r="I38" s="35">
        <v>1</v>
      </c>
      <c r="J38" s="34" t="s">
        <v>13588</v>
      </c>
      <c r="K38" s="45"/>
      <c r="L38" s="35" t="s">
        <v>13589</v>
      </c>
      <c r="M38" s="35" t="s">
        <v>29</v>
      </c>
      <c r="N38" s="34" t="s">
        <v>13590</v>
      </c>
    </row>
    <row r="39" spans="1:14" ht="64.95" customHeight="1" x14ac:dyDescent="0.75">
      <c r="A39" s="35">
        <v>37</v>
      </c>
      <c r="B39" s="34" t="s">
        <v>13591</v>
      </c>
      <c r="C39" s="45"/>
      <c r="D39" s="34" t="s">
        <v>13592</v>
      </c>
      <c r="E39" s="34" t="s">
        <v>13593</v>
      </c>
      <c r="F39" s="34" t="s">
        <v>13594</v>
      </c>
      <c r="G39" s="34" t="s">
        <v>13326</v>
      </c>
      <c r="H39" s="34" t="s">
        <v>13595</v>
      </c>
      <c r="I39" s="35">
        <v>1</v>
      </c>
      <c r="J39" s="34" t="s">
        <v>13596</v>
      </c>
      <c r="K39" s="45"/>
      <c r="L39" s="35" t="s">
        <v>13597</v>
      </c>
      <c r="M39" s="35" t="s">
        <v>29</v>
      </c>
      <c r="N39" s="34" t="s">
        <v>13598</v>
      </c>
    </row>
    <row r="40" spans="1:14" ht="64.95" customHeight="1" x14ac:dyDescent="0.75">
      <c r="A40" s="35">
        <v>38</v>
      </c>
      <c r="B40" s="34" t="s">
        <v>13599</v>
      </c>
      <c r="C40" s="45"/>
      <c r="D40" s="34" t="s">
        <v>13600</v>
      </c>
      <c r="E40" s="34" t="s">
        <v>13601</v>
      </c>
      <c r="F40" s="34" t="s">
        <v>13602</v>
      </c>
      <c r="G40" s="34" t="s">
        <v>13603</v>
      </c>
      <c r="H40" s="34" t="s">
        <v>13604</v>
      </c>
      <c r="I40" s="35">
        <v>1</v>
      </c>
      <c r="J40" s="34" t="s">
        <v>13605</v>
      </c>
      <c r="K40" s="45"/>
      <c r="L40" s="35" t="s">
        <v>13498</v>
      </c>
      <c r="M40" s="35" t="s">
        <v>29</v>
      </c>
      <c r="N40" s="34" t="s">
        <v>13606</v>
      </c>
    </row>
    <row r="41" spans="1:14" ht="64.95" customHeight="1" x14ac:dyDescent="0.75">
      <c r="A41" s="35">
        <v>39</v>
      </c>
      <c r="B41" s="34" t="s">
        <v>13607</v>
      </c>
      <c r="C41" s="45"/>
      <c r="D41" s="34" t="s">
        <v>13608</v>
      </c>
      <c r="E41" s="34" t="s">
        <v>13609</v>
      </c>
      <c r="F41" s="34" t="s">
        <v>13610</v>
      </c>
      <c r="G41" s="34" t="s">
        <v>13611</v>
      </c>
      <c r="H41" s="34" t="s">
        <v>13612</v>
      </c>
      <c r="I41" s="35">
        <v>1</v>
      </c>
      <c r="J41" s="34" t="s">
        <v>13613</v>
      </c>
      <c r="K41" s="45"/>
      <c r="L41" s="35" t="s">
        <v>13614</v>
      </c>
      <c r="M41" s="35" t="s">
        <v>9</v>
      </c>
      <c r="N41" s="34" t="s">
        <v>13615</v>
      </c>
    </row>
    <row r="42" spans="1:14" ht="64.95" customHeight="1" x14ac:dyDescent="0.75">
      <c r="A42" s="35">
        <v>40</v>
      </c>
      <c r="B42" s="34" t="s">
        <v>13616</v>
      </c>
      <c r="C42" s="45"/>
      <c r="D42" s="34" t="s">
        <v>13617</v>
      </c>
      <c r="E42" s="34" t="s">
        <v>13618</v>
      </c>
      <c r="F42" s="34" t="s">
        <v>13619</v>
      </c>
      <c r="G42" s="34" t="s">
        <v>13620</v>
      </c>
      <c r="H42" s="34" t="s">
        <v>13621</v>
      </c>
      <c r="I42" s="35">
        <v>1</v>
      </c>
      <c r="J42" s="34" t="s">
        <v>13622</v>
      </c>
      <c r="K42" s="45"/>
      <c r="L42" s="35" t="s">
        <v>13614</v>
      </c>
      <c r="M42" s="35" t="s">
        <v>9</v>
      </c>
      <c r="N42" s="34" t="s">
        <v>13623</v>
      </c>
    </row>
  </sheetData>
  <mergeCells count="1">
    <mergeCell ref="A1:F1"/>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Q82"/>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7" ht="34.950000000000003" customHeight="1" x14ac:dyDescent="0.25">
      <c r="A1" s="51" t="str">
        <f>HYPERLINK("#gid=0", "🏠 กลับสู่หน้าแรก (Go to Home Page)")</f>
        <v>🏠 กลับสู่หน้าแรก (Go to Home Page)</v>
      </c>
      <c r="B1" s="49"/>
      <c r="C1" s="49"/>
      <c r="D1" s="49"/>
      <c r="E1" s="49"/>
      <c r="F1" s="49"/>
    </row>
    <row r="2" spans="1:17"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7" ht="21.6" customHeight="1" x14ac:dyDescent="0.25">
      <c r="A3" s="15">
        <v>1</v>
      </c>
      <c r="B3" s="2" t="s">
        <v>13624</v>
      </c>
      <c r="C3" s="2"/>
      <c r="D3" s="2" t="s">
        <v>13625</v>
      </c>
      <c r="E3" s="2" t="s">
        <v>13626</v>
      </c>
      <c r="F3" s="2" t="s">
        <v>13627</v>
      </c>
      <c r="G3" s="2" t="s">
        <v>13628</v>
      </c>
      <c r="H3" s="2" t="s">
        <v>13629</v>
      </c>
      <c r="I3" s="2">
        <v>3</v>
      </c>
      <c r="J3" s="2" t="s">
        <v>13630</v>
      </c>
      <c r="K3" s="2"/>
      <c r="L3" s="2" t="s">
        <v>13631</v>
      </c>
      <c r="M3" s="2" t="s">
        <v>9</v>
      </c>
      <c r="N3" s="2" t="s">
        <v>13632</v>
      </c>
      <c r="O3" s="2" t="s">
        <v>164</v>
      </c>
      <c r="P3" s="2">
        <v>2567</v>
      </c>
    </row>
    <row r="4" spans="1:17" ht="13.2" customHeight="1" x14ac:dyDescent="0.25">
      <c r="A4" s="8" t="s">
        <v>90</v>
      </c>
      <c r="B4" s="2" t="s">
        <v>13633</v>
      </c>
      <c r="C4" s="2"/>
      <c r="D4" s="2" t="s">
        <v>13634</v>
      </c>
      <c r="E4" s="2" t="s">
        <v>13635</v>
      </c>
      <c r="F4" s="2" t="s">
        <v>13636</v>
      </c>
      <c r="G4" s="2" t="s">
        <v>13637</v>
      </c>
      <c r="H4" s="2" t="s">
        <v>13638</v>
      </c>
      <c r="I4" s="8" t="s">
        <v>90</v>
      </c>
      <c r="J4" s="2" t="s">
        <v>13639</v>
      </c>
      <c r="K4" s="2" t="s">
        <v>13640</v>
      </c>
      <c r="L4" s="2" t="s">
        <v>13641</v>
      </c>
      <c r="M4" s="2" t="s">
        <v>13642</v>
      </c>
      <c r="N4" s="2" t="s">
        <v>13643</v>
      </c>
      <c r="O4" s="2" t="s">
        <v>816</v>
      </c>
      <c r="P4" s="2" t="s">
        <v>1849</v>
      </c>
      <c r="Q4" s="2"/>
    </row>
    <row r="5" spans="1:17" ht="13.2" customHeight="1" x14ac:dyDescent="0.25">
      <c r="A5" s="8" t="s">
        <v>113</v>
      </c>
      <c r="B5" s="2" t="s">
        <v>13644</v>
      </c>
      <c r="C5" s="2"/>
      <c r="D5" s="2" t="s">
        <v>13645</v>
      </c>
      <c r="E5" s="2" t="s">
        <v>13646</v>
      </c>
      <c r="F5" s="2" t="s">
        <v>13647</v>
      </c>
      <c r="G5" s="2" t="s">
        <v>13648</v>
      </c>
      <c r="H5" s="2" t="s">
        <v>13649</v>
      </c>
      <c r="I5" s="8" t="s">
        <v>96</v>
      </c>
      <c r="J5" s="2" t="s">
        <v>13650</v>
      </c>
      <c r="K5" s="2" t="s">
        <v>13651</v>
      </c>
      <c r="L5" s="2" t="s">
        <v>13652</v>
      </c>
      <c r="M5" s="2" t="s">
        <v>13642</v>
      </c>
      <c r="N5" s="2" t="s">
        <v>13653</v>
      </c>
      <c r="O5" s="2" t="s">
        <v>816</v>
      </c>
      <c r="P5" s="2" t="s">
        <v>1849</v>
      </c>
      <c r="Q5" s="2"/>
    </row>
    <row r="6" spans="1:17" ht="13.2" customHeight="1" x14ac:dyDescent="0.25">
      <c r="A6" s="8" t="s">
        <v>123</v>
      </c>
      <c r="B6" s="2" t="s">
        <v>13654</v>
      </c>
      <c r="C6" s="2"/>
      <c r="D6" s="2" t="s">
        <v>13655</v>
      </c>
      <c r="E6" s="2" t="s">
        <v>13656</v>
      </c>
      <c r="F6" s="2" t="s">
        <v>13657</v>
      </c>
      <c r="G6" s="2" t="s">
        <v>13658</v>
      </c>
      <c r="H6" s="2" t="s">
        <v>13659</v>
      </c>
      <c r="I6" s="8" t="s">
        <v>96</v>
      </c>
      <c r="J6" s="2" t="s">
        <v>13660</v>
      </c>
      <c r="K6" s="2" t="s">
        <v>13661</v>
      </c>
      <c r="L6" s="2" t="s">
        <v>13662</v>
      </c>
      <c r="M6" s="2" t="s">
        <v>13642</v>
      </c>
      <c r="N6" s="2" t="s">
        <v>4802</v>
      </c>
      <c r="O6" s="2" t="s">
        <v>164</v>
      </c>
      <c r="P6" s="2" t="s">
        <v>2017</v>
      </c>
      <c r="Q6" s="2"/>
    </row>
    <row r="7" spans="1:17" ht="13.2" customHeight="1" x14ac:dyDescent="0.25">
      <c r="A7" s="8" t="s">
        <v>132</v>
      </c>
      <c r="B7" s="2" t="s">
        <v>13663</v>
      </c>
      <c r="C7" s="2"/>
      <c r="D7" s="2" t="s">
        <v>13664</v>
      </c>
      <c r="E7" s="2" t="s">
        <v>13665</v>
      </c>
      <c r="F7" s="2" t="s">
        <v>13666</v>
      </c>
      <c r="G7" s="2" t="s">
        <v>13667</v>
      </c>
      <c r="H7" s="2" t="s">
        <v>13668</v>
      </c>
      <c r="I7" s="8" t="s">
        <v>84</v>
      </c>
      <c r="J7" s="2" t="s">
        <v>13669</v>
      </c>
      <c r="K7" s="2" t="s">
        <v>13651</v>
      </c>
      <c r="L7" s="2" t="s">
        <v>13670</v>
      </c>
      <c r="M7" s="2" t="s">
        <v>13642</v>
      </c>
      <c r="N7" s="2" t="s">
        <v>11814</v>
      </c>
      <c r="O7" s="2" t="s">
        <v>164</v>
      </c>
      <c r="P7" s="2" t="s">
        <v>2017</v>
      </c>
      <c r="Q7" s="2"/>
    </row>
    <row r="8" spans="1:17" ht="13.2" customHeight="1" x14ac:dyDescent="0.25">
      <c r="A8" s="8" t="s">
        <v>10084</v>
      </c>
      <c r="B8" s="2" t="s">
        <v>13671</v>
      </c>
      <c r="C8" s="2"/>
      <c r="D8" s="2" t="s">
        <v>13672</v>
      </c>
      <c r="E8" s="2" t="s">
        <v>13673</v>
      </c>
      <c r="F8" s="2" t="s">
        <v>13674</v>
      </c>
      <c r="G8" s="2" t="s">
        <v>13657</v>
      </c>
      <c r="H8" s="2" t="s">
        <v>13667</v>
      </c>
      <c r="I8" s="8" t="s">
        <v>84</v>
      </c>
      <c r="J8" s="2" t="s">
        <v>13675</v>
      </c>
      <c r="K8" s="2" t="s">
        <v>13676</v>
      </c>
      <c r="L8" s="2" t="s">
        <v>13677</v>
      </c>
      <c r="M8" s="2" t="s">
        <v>13642</v>
      </c>
      <c r="N8" s="2" t="s">
        <v>6757</v>
      </c>
      <c r="O8" s="2" t="s">
        <v>164</v>
      </c>
      <c r="P8" s="2" t="s">
        <v>2017</v>
      </c>
      <c r="Q8" s="2"/>
    </row>
    <row r="9" spans="1:17" ht="13.2" customHeight="1" x14ac:dyDescent="0.25">
      <c r="A9" s="8" t="s">
        <v>10093</v>
      </c>
      <c r="B9" s="2" t="s">
        <v>13678</v>
      </c>
      <c r="C9" s="2"/>
      <c r="D9" s="2" t="s">
        <v>13679</v>
      </c>
      <c r="E9" s="2" t="s">
        <v>13680</v>
      </c>
      <c r="F9" s="2" t="s">
        <v>13665</v>
      </c>
      <c r="G9" s="2" t="s">
        <v>13657</v>
      </c>
      <c r="H9" s="2" t="s">
        <v>13631</v>
      </c>
      <c r="I9" s="8" t="s">
        <v>84</v>
      </c>
      <c r="J9" s="2" t="s">
        <v>13681</v>
      </c>
      <c r="K9" s="2" t="s">
        <v>13682</v>
      </c>
      <c r="L9" s="2" t="s">
        <v>13683</v>
      </c>
      <c r="M9" s="2" t="s">
        <v>13642</v>
      </c>
      <c r="N9" s="2" t="s">
        <v>4814</v>
      </c>
      <c r="O9" s="2" t="s">
        <v>164</v>
      </c>
      <c r="P9" s="2" t="s">
        <v>2017</v>
      </c>
      <c r="Q9" s="2"/>
    </row>
    <row r="10" spans="1:17" ht="13.2" customHeight="1" x14ac:dyDescent="0.25">
      <c r="A10" s="8" t="s">
        <v>10102</v>
      </c>
      <c r="B10" s="2" t="s">
        <v>13684</v>
      </c>
      <c r="C10" s="2"/>
      <c r="D10" s="2" t="s">
        <v>13685</v>
      </c>
      <c r="E10" s="2" t="s">
        <v>13686</v>
      </c>
      <c r="F10" s="2" t="s">
        <v>13687</v>
      </c>
      <c r="G10" s="2" t="s">
        <v>13688</v>
      </c>
      <c r="H10" s="2" t="s">
        <v>13657</v>
      </c>
      <c r="I10" s="8" t="s">
        <v>84</v>
      </c>
      <c r="J10" s="2" t="s">
        <v>13689</v>
      </c>
      <c r="K10" s="2" t="s">
        <v>13676</v>
      </c>
      <c r="L10" s="2" t="s">
        <v>13690</v>
      </c>
      <c r="M10" s="2" t="s">
        <v>13642</v>
      </c>
      <c r="N10" s="2" t="s">
        <v>7340</v>
      </c>
      <c r="O10" s="2" t="s">
        <v>164</v>
      </c>
      <c r="P10" s="2" t="s">
        <v>2017</v>
      </c>
      <c r="Q10" s="2"/>
    </row>
    <row r="11" spans="1:17" ht="13.2" customHeight="1" x14ac:dyDescent="0.25">
      <c r="A11" s="8" t="s">
        <v>10111</v>
      </c>
      <c r="B11" s="2" t="s">
        <v>13691</v>
      </c>
      <c r="C11" s="2"/>
      <c r="D11" s="2" t="s">
        <v>13692</v>
      </c>
      <c r="E11" s="2" t="s">
        <v>13693</v>
      </c>
      <c r="F11" s="2" t="s">
        <v>13694</v>
      </c>
      <c r="G11" s="2" t="s">
        <v>13695</v>
      </c>
      <c r="H11" s="2" t="s">
        <v>13696</v>
      </c>
      <c r="I11" s="8" t="s">
        <v>84</v>
      </c>
      <c r="J11" s="2" t="s">
        <v>13697</v>
      </c>
      <c r="K11" s="2" t="s">
        <v>13698</v>
      </c>
      <c r="L11" s="2" t="s">
        <v>13699</v>
      </c>
      <c r="M11" s="2" t="s">
        <v>13642</v>
      </c>
      <c r="N11" s="2" t="s">
        <v>9770</v>
      </c>
      <c r="O11" s="2" t="s">
        <v>164</v>
      </c>
      <c r="P11" s="2" t="s">
        <v>2017</v>
      </c>
      <c r="Q11" s="2"/>
    </row>
    <row r="12" spans="1:17" ht="13.2" customHeight="1" x14ac:dyDescent="0.25">
      <c r="A12" s="8" t="s">
        <v>10119</v>
      </c>
      <c r="B12" s="2" t="s">
        <v>13700</v>
      </c>
      <c r="C12" s="2"/>
      <c r="D12" s="2" t="s">
        <v>13701</v>
      </c>
      <c r="E12" s="2" t="s">
        <v>13702</v>
      </c>
      <c r="F12" s="2" t="s">
        <v>13703</v>
      </c>
      <c r="G12" s="2" t="s">
        <v>13704</v>
      </c>
      <c r="H12" s="2" t="s">
        <v>13657</v>
      </c>
      <c r="I12" s="8" t="s">
        <v>84</v>
      </c>
      <c r="J12" s="2" t="s">
        <v>13705</v>
      </c>
      <c r="K12" s="2" t="s">
        <v>13651</v>
      </c>
      <c r="L12" s="2" t="s">
        <v>13706</v>
      </c>
      <c r="M12" s="2" t="s">
        <v>13642</v>
      </c>
      <c r="N12" s="2" t="s">
        <v>6072</v>
      </c>
      <c r="O12" s="2" t="s">
        <v>164</v>
      </c>
      <c r="P12" s="2" t="s">
        <v>2017</v>
      </c>
      <c r="Q12" s="2"/>
    </row>
    <row r="13" spans="1:17" ht="13.2" customHeight="1" x14ac:dyDescent="0.25">
      <c r="A13" s="2">
        <v>11</v>
      </c>
      <c r="B13" s="2" t="s">
        <v>13707</v>
      </c>
      <c r="C13" s="2"/>
      <c r="D13" s="2" t="s">
        <v>13658</v>
      </c>
      <c r="E13" s="2" t="s">
        <v>13708</v>
      </c>
      <c r="F13" s="2" t="s">
        <v>13709</v>
      </c>
      <c r="G13" s="2" t="s">
        <v>13710</v>
      </c>
      <c r="H13" s="2" t="s">
        <v>13711</v>
      </c>
      <c r="I13" s="8" t="s">
        <v>96</v>
      </c>
      <c r="J13" s="2" t="s">
        <v>13712</v>
      </c>
      <c r="K13" s="2" t="s">
        <v>13698</v>
      </c>
      <c r="L13" s="2" t="s">
        <v>13713</v>
      </c>
      <c r="M13" s="2" t="s">
        <v>9</v>
      </c>
      <c r="N13" s="2" t="s">
        <v>13714</v>
      </c>
      <c r="O13" s="2" t="s">
        <v>164</v>
      </c>
      <c r="P13" s="2" t="s">
        <v>2206</v>
      </c>
      <c r="Q13" s="2"/>
    </row>
    <row r="14" spans="1:17" ht="13.2" customHeight="1" x14ac:dyDescent="0.25">
      <c r="A14" s="2">
        <v>12</v>
      </c>
      <c r="B14" s="2" t="s">
        <v>13715</v>
      </c>
      <c r="C14" s="2"/>
      <c r="D14" s="2" t="s">
        <v>13716</v>
      </c>
      <c r="E14" s="2" t="s">
        <v>2827</v>
      </c>
      <c r="F14" s="2" t="s">
        <v>13717</v>
      </c>
      <c r="G14" s="2" t="s">
        <v>13718</v>
      </c>
      <c r="H14" s="2" t="s">
        <v>13719</v>
      </c>
      <c r="I14" s="2">
        <v>1</v>
      </c>
      <c r="J14" s="2" t="s">
        <v>13720</v>
      </c>
      <c r="K14" s="2"/>
      <c r="L14" s="2" t="s">
        <v>13657</v>
      </c>
      <c r="M14" s="2" t="s">
        <v>9</v>
      </c>
      <c r="N14" s="2" t="s">
        <v>13721</v>
      </c>
      <c r="O14" s="2" t="s">
        <v>164</v>
      </c>
      <c r="P14" s="2" t="s">
        <v>2271</v>
      </c>
    </row>
    <row r="15" spans="1:17" ht="13.2" customHeight="1" x14ac:dyDescent="0.25">
      <c r="A15" s="2">
        <v>13</v>
      </c>
      <c r="B15" s="2" t="s">
        <v>13722</v>
      </c>
      <c r="C15" s="2"/>
      <c r="D15" s="2" t="s">
        <v>13723</v>
      </c>
      <c r="E15" s="2" t="s">
        <v>13724</v>
      </c>
      <c r="F15" s="2" t="s">
        <v>13725</v>
      </c>
      <c r="G15" s="2" t="s">
        <v>13726</v>
      </c>
      <c r="H15" s="2" t="s">
        <v>13727</v>
      </c>
      <c r="I15" s="2">
        <v>1</v>
      </c>
      <c r="J15" s="2" t="s">
        <v>13728</v>
      </c>
      <c r="K15" s="2"/>
      <c r="L15" s="2" t="s">
        <v>13645</v>
      </c>
      <c r="M15" s="2" t="s">
        <v>9</v>
      </c>
      <c r="N15" s="2" t="s">
        <v>13729</v>
      </c>
      <c r="O15" s="2" t="s">
        <v>164</v>
      </c>
      <c r="P15" s="2" t="s">
        <v>2271</v>
      </c>
    </row>
    <row r="16" spans="1:17" ht="13.2" customHeight="1" x14ac:dyDescent="0.25">
      <c r="A16" s="2">
        <v>14</v>
      </c>
      <c r="B16" s="2" t="s">
        <v>6836</v>
      </c>
      <c r="C16" s="2"/>
      <c r="D16" s="2" t="s">
        <v>6837</v>
      </c>
      <c r="E16" s="2" t="s">
        <v>6838</v>
      </c>
      <c r="F16" s="2" t="s">
        <v>6839</v>
      </c>
      <c r="G16" s="2" t="s">
        <v>13730</v>
      </c>
      <c r="H16" s="2" t="s">
        <v>2273</v>
      </c>
      <c r="I16" s="2">
        <v>1</v>
      </c>
      <c r="J16" s="2" t="s">
        <v>13731</v>
      </c>
      <c r="K16" s="2"/>
      <c r="L16" s="2" t="s">
        <v>13645</v>
      </c>
      <c r="M16" s="2" t="s">
        <v>9</v>
      </c>
      <c r="N16" s="2" t="s">
        <v>2236</v>
      </c>
      <c r="O16" s="2" t="s">
        <v>164</v>
      </c>
      <c r="P16" s="2" t="s">
        <v>2317</v>
      </c>
    </row>
    <row r="17" spans="1:16" ht="13.2" customHeight="1" x14ac:dyDescent="0.25">
      <c r="A17" s="2">
        <v>15</v>
      </c>
      <c r="B17" s="2" t="s">
        <v>13732</v>
      </c>
      <c r="C17" s="2"/>
      <c r="D17" s="2" t="s">
        <v>13733</v>
      </c>
      <c r="E17" s="2" t="s">
        <v>13734</v>
      </c>
      <c r="F17" s="2" t="s">
        <v>13735</v>
      </c>
      <c r="G17" s="2" t="s">
        <v>13736</v>
      </c>
      <c r="H17" s="2" t="s">
        <v>13737</v>
      </c>
      <c r="I17" s="2">
        <v>1</v>
      </c>
      <c r="J17" s="2" t="s">
        <v>13738</v>
      </c>
      <c r="K17" s="2"/>
      <c r="L17" s="2" t="s">
        <v>13645</v>
      </c>
      <c r="M17" s="2" t="s">
        <v>9</v>
      </c>
      <c r="N17" s="2" t="s">
        <v>13739</v>
      </c>
      <c r="O17" s="2" t="s">
        <v>164</v>
      </c>
      <c r="P17" s="2" t="s">
        <v>2436</v>
      </c>
    </row>
    <row r="18" spans="1:16" ht="13.2" customHeight="1" x14ac:dyDescent="0.25">
      <c r="A18" s="2">
        <v>16</v>
      </c>
      <c r="B18" s="2" t="s">
        <v>13740</v>
      </c>
      <c r="C18" s="2"/>
      <c r="D18" s="2" t="s">
        <v>13741</v>
      </c>
      <c r="E18" s="2" t="s">
        <v>1350</v>
      </c>
      <c r="F18" s="2" t="s">
        <v>7458</v>
      </c>
      <c r="G18" s="2" t="s">
        <v>1381</v>
      </c>
      <c r="H18" s="2" t="s">
        <v>13742</v>
      </c>
      <c r="I18" s="2">
        <v>1</v>
      </c>
      <c r="J18" s="2" t="s">
        <v>13743</v>
      </c>
      <c r="K18" s="2"/>
      <c r="L18" s="2" t="s">
        <v>13645</v>
      </c>
      <c r="M18" s="2" t="s">
        <v>9</v>
      </c>
      <c r="N18" s="2" t="s">
        <v>13744</v>
      </c>
      <c r="O18" s="2" t="s">
        <v>164</v>
      </c>
      <c r="P18" s="2" t="s">
        <v>2514</v>
      </c>
    </row>
    <row r="19" spans="1:16" ht="13.2" customHeight="1" x14ac:dyDescent="0.25">
      <c r="A19" s="2">
        <v>17</v>
      </c>
      <c r="B19" s="2" t="s">
        <v>13745</v>
      </c>
      <c r="C19" s="2"/>
      <c r="D19" s="2" t="s">
        <v>13746</v>
      </c>
      <c r="E19" s="2" t="s">
        <v>13659</v>
      </c>
      <c r="F19" s="2" t="s">
        <v>13658</v>
      </c>
      <c r="G19" s="2" t="s">
        <v>13631</v>
      </c>
      <c r="H19" s="2" t="s">
        <v>13747</v>
      </c>
      <c r="I19" s="2">
        <v>1</v>
      </c>
      <c r="J19" s="2" t="s">
        <v>13748</v>
      </c>
      <c r="K19" s="2"/>
      <c r="L19" s="2" t="s">
        <v>13645</v>
      </c>
      <c r="M19" s="2" t="s">
        <v>9</v>
      </c>
      <c r="N19" s="2" t="s">
        <v>13749</v>
      </c>
      <c r="O19" s="2" t="s">
        <v>816</v>
      </c>
      <c r="P19" s="2" t="s">
        <v>2629</v>
      </c>
    </row>
    <row r="20" spans="1:16" ht="13.2" customHeight="1" x14ac:dyDescent="0.25">
      <c r="A20" s="2">
        <v>18</v>
      </c>
      <c r="B20" s="2" t="s">
        <v>13750</v>
      </c>
      <c r="C20" s="2"/>
      <c r="D20" s="2" t="s">
        <v>13688</v>
      </c>
      <c r="E20" s="2" t="s">
        <v>13751</v>
      </c>
      <c r="F20" s="2" t="s">
        <v>13752</v>
      </c>
      <c r="G20" s="2" t="s">
        <v>13753</v>
      </c>
      <c r="H20" s="2" t="s">
        <v>13754</v>
      </c>
      <c r="I20" s="2">
        <v>1</v>
      </c>
      <c r="J20" s="2" t="s">
        <v>13755</v>
      </c>
      <c r="K20" s="2"/>
      <c r="L20" s="2" t="s">
        <v>13645</v>
      </c>
      <c r="M20" s="2" t="s">
        <v>9</v>
      </c>
      <c r="N20" s="2" t="s">
        <v>13756</v>
      </c>
      <c r="O20" s="2" t="s">
        <v>816</v>
      </c>
      <c r="P20" s="2" t="s">
        <v>2629</v>
      </c>
    </row>
    <row r="21" spans="1:16" ht="13.2" customHeight="1" x14ac:dyDescent="0.25">
      <c r="A21" s="2">
        <v>19</v>
      </c>
      <c r="B21" s="2" t="s">
        <v>13757</v>
      </c>
      <c r="C21" s="2"/>
      <c r="D21" s="2" t="s">
        <v>13657</v>
      </c>
      <c r="E21" s="2" t="s">
        <v>13645</v>
      </c>
      <c r="F21" s="2" t="s">
        <v>13658</v>
      </c>
      <c r="G21" s="2" t="s">
        <v>13631</v>
      </c>
      <c r="H21" s="2" t="s">
        <v>781</v>
      </c>
      <c r="I21" s="2">
        <v>1</v>
      </c>
      <c r="J21" s="2" t="s">
        <v>13758</v>
      </c>
      <c r="K21" s="2"/>
      <c r="L21" s="2" t="s">
        <v>13645</v>
      </c>
      <c r="M21" s="2" t="s">
        <v>9</v>
      </c>
      <c r="N21" s="2" t="s">
        <v>13759</v>
      </c>
      <c r="O21" s="2" t="s">
        <v>816</v>
      </c>
      <c r="P21" s="2" t="s">
        <v>2629</v>
      </c>
    </row>
    <row r="22" spans="1:16" ht="13.2" customHeight="1" x14ac:dyDescent="0.25">
      <c r="A22" s="2">
        <v>20</v>
      </c>
      <c r="B22" s="2" t="s">
        <v>13760</v>
      </c>
      <c r="C22" s="2"/>
      <c r="D22" s="2" t="s">
        <v>13761</v>
      </c>
      <c r="E22" s="2" t="s">
        <v>13762</v>
      </c>
      <c r="F22" s="2" t="s">
        <v>13763</v>
      </c>
      <c r="G22" s="2" t="s">
        <v>13764</v>
      </c>
      <c r="H22" s="2" t="s">
        <v>13765</v>
      </c>
      <c r="I22" s="2">
        <v>1</v>
      </c>
      <c r="J22" s="2" t="s">
        <v>13766</v>
      </c>
      <c r="K22" s="2"/>
      <c r="L22" s="2" t="s">
        <v>13645</v>
      </c>
      <c r="M22" s="2" t="s">
        <v>9</v>
      </c>
      <c r="N22" s="2" t="s">
        <v>13767</v>
      </c>
      <c r="O22" s="2" t="s">
        <v>164</v>
      </c>
      <c r="P22" s="2" t="s">
        <v>3561</v>
      </c>
    </row>
    <row r="23" spans="1:16" ht="13.2" customHeight="1" x14ac:dyDescent="0.25">
      <c r="A23" s="2">
        <v>21</v>
      </c>
      <c r="B23" s="2" t="s">
        <v>13768</v>
      </c>
      <c r="C23" s="2"/>
      <c r="D23" s="2" t="s">
        <v>13764</v>
      </c>
      <c r="E23" s="2" t="s">
        <v>13765</v>
      </c>
      <c r="F23" s="2" t="s">
        <v>13769</v>
      </c>
      <c r="G23" s="2" t="s">
        <v>13770</v>
      </c>
      <c r="H23" s="2" t="s">
        <v>13771</v>
      </c>
      <c r="I23" s="2">
        <v>1</v>
      </c>
      <c r="J23" s="2" t="s">
        <v>13772</v>
      </c>
      <c r="K23" s="2"/>
      <c r="L23" s="2" t="s">
        <v>13631</v>
      </c>
      <c r="M23" s="2" t="s">
        <v>9</v>
      </c>
      <c r="N23" s="2" t="s">
        <v>13773</v>
      </c>
      <c r="O23" s="2" t="s">
        <v>164</v>
      </c>
      <c r="P23" s="2" t="s">
        <v>3561</v>
      </c>
    </row>
    <row r="24" spans="1:16" ht="13.2" customHeight="1" x14ac:dyDescent="0.25">
      <c r="A24" s="2">
        <v>22</v>
      </c>
      <c r="B24" s="2" t="s">
        <v>13774</v>
      </c>
      <c r="C24" s="2"/>
      <c r="D24" s="2" t="s">
        <v>13770</v>
      </c>
      <c r="E24" s="2" t="s">
        <v>13771</v>
      </c>
      <c r="F24" s="2" t="s">
        <v>13775</v>
      </c>
      <c r="G24" s="2" t="s">
        <v>13776</v>
      </c>
      <c r="H24" s="2" t="s">
        <v>13761</v>
      </c>
      <c r="I24" s="2">
        <v>3</v>
      </c>
      <c r="J24" s="2" t="s">
        <v>13777</v>
      </c>
      <c r="K24" s="2"/>
      <c r="L24" s="2" t="s">
        <v>13658</v>
      </c>
      <c r="M24" s="2" t="s">
        <v>9</v>
      </c>
      <c r="N24" s="2" t="s">
        <v>3699</v>
      </c>
      <c r="O24" s="2" t="s">
        <v>164</v>
      </c>
      <c r="P24" s="2" t="s">
        <v>2709</v>
      </c>
    </row>
    <row r="25" spans="1:16" ht="13.2" customHeight="1" x14ac:dyDescent="0.25">
      <c r="A25" s="2">
        <v>23</v>
      </c>
      <c r="B25" s="2" t="s">
        <v>13778</v>
      </c>
      <c r="C25" s="2"/>
      <c r="D25" s="2" t="s">
        <v>13776</v>
      </c>
      <c r="E25" s="2" t="s">
        <v>13761</v>
      </c>
      <c r="F25" s="2" t="s">
        <v>13762</v>
      </c>
      <c r="G25" s="2" t="s">
        <v>13763</v>
      </c>
      <c r="H25" s="2" t="s">
        <v>13764</v>
      </c>
      <c r="I25" s="2">
        <v>1</v>
      </c>
      <c r="J25" s="2" t="s">
        <v>13779</v>
      </c>
      <c r="K25" s="2"/>
      <c r="L25" s="2" t="s">
        <v>13645</v>
      </c>
      <c r="M25" s="2" t="s">
        <v>9</v>
      </c>
      <c r="N25" s="2" t="s">
        <v>13780</v>
      </c>
      <c r="O25" s="2" t="s">
        <v>164</v>
      </c>
      <c r="P25" s="2" t="s">
        <v>2709</v>
      </c>
    </row>
    <row r="26" spans="1:16" ht="13.2" customHeight="1" x14ac:dyDescent="0.25">
      <c r="A26" s="2">
        <v>24</v>
      </c>
      <c r="B26" s="2" t="s">
        <v>13631</v>
      </c>
      <c r="C26" s="2"/>
      <c r="D26" s="2" t="s">
        <v>13763</v>
      </c>
      <c r="E26" s="2" t="s">
        <v>13764</v>
      </c>
      <c r="F26" s="2" t="s">
        <v>13765</v>
      </c>
      <c r="G26" s="2" t="s">
        <v>13769</v>
      </c>
      <c r="H26" s="2" t="s">
        <v>13770</v>
      </c>
      <c r="I26" s="2">
        <v>1</v>
      </c>
      <c r="J26" s="2" t="s">
        <v>13781</v>
      </c>
      <c r="K26" s="2"/>
      <c r="L26" s="2" t="s">
        <v>13631</v>
      </c>
      <c r="M26" s="2" t="s">
        <v>9</v>
      </c>
      <c r="N26" s="2" t="s">
        <v>3681</v>
      </c>
      <c r="O26" s="2" t="s">
        <v>164</v>
      </c>
      <c r="P26" s="2" t="s">
        <v>2709</v>
      </c>
    </row>
    <row r="27" spans="1:16" ht="13.2" customHeight="1" x14ac:dyDescent="0.25">
      <c r="A27" s="2">
        <v>25</v>
      </c>
      <c r="B27" s="2" t="s">
        <v>13698</v>
      </c>
      <c r="C27" s="2"/>
      <c r="D27" s="2" t="s">
        <v>13769</v>
      </c>
      <c r="E27" s="2" t="s">
        <v>13770</v>
      </c>
      <c r="F27" s="2" t="s">
        <v>13771</v>
      </c>
      <c r="G27" s="2" t="s">
        <v>13775</v>
      </c>
      <c r="H27" s="2" t="s">
        <v>13776</v>
      </c>
      <c r="I27" s="2">
        <v>1</v>
      </c>
      <c r="J27" s="2" t="s">
        <v>13782</v>
      </c>
      <c r="K27" s="2"/>
      <c r="L27" s="2" t="s">
        <v>13657</v>
      </c>
      <c r="M27" s="2" t="s">
        <v>9</v>
      </c>
      <c r="N27" s="2" t="s">
        <v>9897</v>
      </c>
      <c r="O27" s="2" t="s">
        <v>164</v>
      </c>
      <c r="P27" s="2" t="s">
        <v>2709</v>
      </c>
    </row>
    <row r="28" spans="1:16" ht="13.2" customHeight="1" x14ac:dyDescent="0.25">
      <c r="A28" s="2">
        <v>26</v>
      </c>
      <c r="B28" s="2" t="s">
        <v>13783</v>
      </c>
      <c r="C28" s="2"/>
      <c r="D28" s="2" t="s">
        <v>4897</v>
      </c>
      <c r="E28" s="2" t="s">
        <v>10288</v>
      </c>
      <c r="F28" s="2" t="s">
        <v>3298</v>
      </c>
      <c r="G28" s="2" t="s">
        <v>13784</v>
      </c>
      <c r="H28" s="2" t="s">
        <v>799</v>
      </c>
      <c r="I28" s="2">
        <v>1</v>
      </c>
      <c r="J28" s="2" t="s">
        <v>13785</v>
      </c>
      <c r="K28" s="2"/>
      <c r="L28" s="2" t="s">
        <v>13645</v>
      </c>
      <c r="M28" s="2" t="s">
        <v>9</v>
      </c>
      <c r="N28" s="2" t="s">
        <v>13786</v>
      </c>
      <c r="O28" s="2" t="s">
        <v>816</v>
      </c>
      <c r="P28" s="2" t="s">
        <v>2710</v>
      </c>
    </row>
    <row r="29" spans="1:16" ht="13.2" customHeight="1" x14ac:dyDescent="0.25">
      <c r="A29" s="2">
        <v>27</v>
      </c>
      <c r="B29" s="2" t="s">
        <v>13787</v>
      </c>
      <c r="C29" s="2"/>
      <c r="D29" s="2" t="s">
        <v>13788</v>
      </c>
      <c r="E29" s="2" t="s">
        <v>13789</v>
      </c>
      <c r="F29" s="2" t="s">
        <v>13790</v>
      </c>
      <c r="G29" s="2" t="s">
        <v>13791</v>
      </c>
      <c r="H29" s="2" t="s">
        <v>799</v>
      </c>
      <c r="I29" s="2">
        <v>1</v>
      </c>
      <c r="J29" s="2" t="s">
        <v>13792</v>
      </c>
      <c r="K29" s="2"/>
      <c r="L29" s="2" t="s">
        <v>13645</v>
      </c>
      <c r="M29" s="2" t="s">
        <v>9</v>
      </c>
      <c r="N29" s="2" t="s">
        <v>5060</v>
      </c>
      <c r="O29" s="2" t="s">
        <v>816</v>
      </c>
      <c r="P29" s="2" t="s">
        <v>2710</v>
      </c>
    </row>
    <row r="30" spans="1:16" ht="13.2" customHeight="1" x14ac:dyDescent="0.25">
      <c r="A30" s="2">
        <v>28</v>
      </c>
      <c r="B30" s="2" t="s">
        <v>13793</v>
      </c>
      <c r="C30" s="2"/>
      <c r="D30" s="2" t="s">
        <v>13794</v>
      </c>
      <c r="E30" s="2" t="s">
        <v>13795</v>
      </c>
      <c r="F30" s="2" t="s">
        <v>13796</v>
      </c>
      <c r="G30" s="2" t="s">
        <v>13797</v>
      </c>
      <c r="H30" s="2" t="s">
        <v>13798</v>
      </c>
      <c r="I30" s="2">
        <v>1</v>
      </c>
      <c r="J30" s="2" t="s">
        <v>13799</v>
      </c>
      <c r="K30" s="2"/>
      <c r="L30" s="2" t="s">
        <v>13657</v>
      </c>
      <c r="M30" s="2" t="s">
        <v>9</v>
      </c>
      <c r="N30" s="2" t="s">
        <v>2556</v>
      </c>
      <c r="O30" s="2" t="s">
        <v>816</v>
      </c>
      <c r="P30" s="2" t="s">
        <v>2710</v>
      </c>
    </row>
    <row r="31" spans="1:16" ht="13.2" customHeight="1" x14ac:dyDescent="0.25">
      <c r="A31" s="2">
        <v>29</v>
      </c>
      <c r="B31" s="2" t="s">
        <v>13800</v>
      </c>
      <c r="C31" s="2"/>
      <c r="D31" s="2" t="s">
        <v>13801</v>
      </c>
      <c r="E31" s="2" t="s">
        <v>13802</v>
      </c>
      <c r="F31" s="2" t="s">
        <v>13803</v>
      </c>
      <c r="G31" s="2" t="s">
        <v>13804</v>
      </c>
      <c r="H31" s="2" t="s">
        <v>13805</v>
      </c>
      <c r="I31" s="2">
        <v>1</v>
      </c>
      <c r="J31" s="2" t="s">
        <v>13806</v>
      </c>
      <c r="K31" s="2"/>
      <c r="L31" s="2" t="s">
        <v>13658</v>
      </c>
      <c r="M31" s="2" t="s">
        <v>9</v>
      </c>
      <c r="N31" s="2" t="s">
        <v>6195</v>
      </c>
      <c r="O31" s="2" t="s">
        <v>816</v>
      </c>
      <c r="P31" s="2" t="s">
        <v>2710</v>
      </c>
    </row>
    <row r="32" spans="1:16" ht="13.2" customHeight="1" x14ac:dyDescent="0.25">
      <c r="A32" s="2">
        <v>30</v>
      </c>
      <c r="B32" s="2" t="s">
        <v>13807</v>
      </c>
      <c r="C32" s="2"/>
      <c r="D32" s="2" t="s">
        <v>13808</v>
      </c>
      <c r="E32" s="2" t="s">
        <v>13809</v>
      </c>
      <c r="F32" s="2">
        <v>90</v>
      </c>
      <c r="G32" s="2">
        <v>95</v>
      </c>
      <c r="H32" s="2">
        <v>100</v>
      </c>
      <c r="I32" s="2">
        <v>1</v>
      </c>
      <c r="J32" s="2" t="s">
        <v>13810</v>
      </c>
      <c r="K32" s="2"/>
      <c r="L32" s="2" t="s">
        <v>13645</v>
      </c>
      <c r="M32" s="2" t="s">
        <v>9</v>
      </c>
      <c r="N32" s="2" t="s">
        <v>13811</v>
      </c>
      <c r="O32" s="2" t="s">
        <v>816</v>
      </c>
      <c r="P32" s="2" t="s">
        <v>2710</v>
      </c>
    </row>
    <row r="33" spans="1:16" ht="13.2" customHeight="1" x14ac:dyDescent="0.25">
      <c r="A33" s="2">
        <v>31</v>
      </c>
      <c r="B33" s="2" t="s">
        <v>13812</v>
      </c>
      <c r="C33" s="2"/>
      <c r="D33" s="2" t="s">
        <v>13813</v>
      </c>
      <c r="E33" s="2" t="s">
        <v>10288</v>
      </c>
      <c r="F33" s="2" t="s">
        <v>13693</v>
      </c>
      <c r="G33" s="2" t="s">
        <v>13814</v>
      </c>
      <c r="H33" s="2" t="s">
        <v>2254</v>
      </c>
      <c r="I33" s="2">
        <v>1</v>
      </c>
      <c r="J33" s="2" t="s">
        <v>13815</v>
      </c>
      <c r="K33" s="2"/>
      <c r="L33" s="2" t="s">
        <v>13657</v>
      </c>
      <c r="M33" s="2" t="s">
        <v>9</v>
      </c>
      <c r="N33" s="2" t="s">
        <v>10503</v>
      </c>
      <c r="O33" s="2" t="s">
        <v>816</v>
      </c>
      <c r="P33" s="2" t="s">
        <v>2710</v>
      </c>
    </row>
    <row r="34" spans="1:16" ht="13.2" customHeight="1" x14ac:dyDescent="0.25">
      <c r="A34" s="2">
        <v>32</v>
      </c>
      <c r="B34" s="2" t="s">
        <v>13816</v>
      </c>
      <c r="C34" s="2"/>
      <c r="D34" s="2" t="s">
        <v>13817</v>
      </c>
      <c r="E34" s="2" t="s">
        <v>13818</v>
      </c>
      <c r="F34" s="2" t="s">
        <v>13819</v>
      </c>
      <c r="G34" s="2" t="s">
        <v>13820</v>
      </c>
      <c r="H34" s="2" t="s">
        <v>13821</v>
      </c>
      <c r="I34" s="2">
        <v>1</v>
      </c>
      <c r="J34" s="2" t="s">
        <v>13822</v>
      </c>
      <c r="K34" s="2"/>
      <c r="L34" s="2" t="s">
        <v>13657</v>
      </c>
      <c r="M34" s="2" t="s">
        <v>9</v>
      </c>
      <c r="N34" s="2" t="s">
        <v>3789</v>
      </c>
      <c r="O34" s="2" t="s">
        <v>816</v>
      </c>
      <c r="P34" s="2" t="s">
        <v>2710</v>
      </c>
    </row>
    <row r="35" spans="1:16" ht="13.2" customHeight="1" x14ac:dyDescent="0.25">
      <c r="A35" s="2">
        <v>33</v>
      </c>
      <c r="B35" s="2" t="s">
        <v>13823</v>
      </c>
      <c r="C35" s="2"/>
      <c r="D35" s="2" t="s">
        <v>13824</v>
      </c>
      <c r="E35" s="2" t="s">
        <v>13825</v>
      </c>
      <c r="F35" s="2" t="s">
        <v>13826</v>
      </c>
      <c r="G35" s="2" t="s">
        <v>13827</v>
      </c>
      <c r="H35" s="2" t="s">
        <v>13828</v>
      </c>
      <c r="I35" s="2">
        <v>1</v>
      </c>
      <c r="J35" s="2" t="s">
        <v>13829</v>
      </c>
      <c r="K35" s="2"/>
      <c r="L35" s="2" t="s">
        <v>13645</v>
      </c>
      <c r="M35" s="2" t="s">
        <v>9</v>
      </c>
      <c r="N35" s="2" t="s">
        <v>1661</v>
      </c>
      <c r="O35" s="2" t="s">
        <v>816</v>
      </c>
      <c r="P35" s="2" t="s">
        <v>2710</v>
      </c>
    </row>
    <row r="36" spans="1:16" ht="13.2" customHeight="1" x14ac:dyDescent="0.25">
      <c r="A36" s="2">
        <v>34</v>
      </c>
      <c r="B36" s="2" t="s">
        <v>13830</v>
      </c>
      <c r="C36" s="2"/>
      <c r="D36" s="2">
        <v>9.4299999999999995E-2</v>
      </c>
      <c r="E36" s="2" t="s">
        <v>13831</v>
      </c>
      <c r="F36" s="2">
        <v>9.6699999999999994E-2</v>
      </c>
      <c r="G36" s="2">
        <v>9.7699999999999995E-2</v>
      </c>
      <c r="H36" s="2">
        <v>9.8100000000000007E-2</v>
      </c>
      <c r="I36" s="2">
        <v>1</v>
      </c>
      <c r="J36" s="2" t="s">
        <v>13832</v>
      </c>
      <c r="K36" s="2"/>
      <c r="L36" s="2" t="s">
        <v>13645</v>
      </c>
      <c r="M36" s="2" t="s">
        <v>9</v>
      </c>
      <c r="N36" s="2" t="s">
        <v>3819</v>
      </c>
      <c r="O36" s="2" t="s">
        <v>816</v>
      </c>
      <c r="P36" s="2" t="s">
        <v>2710</v>
      </c>
    </row>
    <row r="37" spans="1:16" ht="13.2" customHeight="1" x14ac:dyDescent="0.25">
      <c r="A37" s="2">
        <v>35</v>
      </c>
      <c r="B37" s="2" t="s">
        <v>13833</v>
      </c>
      <c r="C37" s="2"/>
      <c r="D37" s="21">
        <v>1.0009999999999999</v>
      </c>
      <c r="E37" s="21">
        <v>1.002</v>
      </c>
      <c r="F37" s="21">
        <v>1.0029999999999999</v>
      </c>
      <c r="G37" s="21">
        <v>1.01</v>
      </c>
      <c r="H37" s="21">
        <v>1.02</v>
      </c>
      <c r="I37" s="2">
        <v>1</v>
      </c>
      <c r="J37" s="2" t="s">
        <v>13834</v>
      </c>
      <c r="K37" s="2"/>
      <c r="L37" s="2" t="s">
        <v>13657</v>
      </c>
      <c r="M37" s="2" t="s">
        <v>9</v>
      </c>
      <c r="N37" s="2" t="s">
        <v>3879</v>
      </c>
      <c r="O37" s="2" t="s">
        <v>816</v>
      </c>
      <c r="P37" s="2" t="s">
        <v>2710</v>
      </c>
    </row>
    <row r="38" spans="1:16" ht="13.2" customHeight="1" x14ac:dyDescent="0.25">
      <c r="A38" s="2">
        <v>36</v>
      </c>
      <c r="B38" s="2" t="s">
        <v>13835</v>
      </c>
      <c r="C38" s="2"/>
      <c r="D38" s="2" t="s">
        <v>13775</v>
      </c>
      <c r="E38" s="2" t="s">
        <v>13776</v>
      </c>
      <c r="F38" s="2" t="s">
        <v>13761</v>
      </c>
      <c r="G38" s="2" t="s">
        <v>13762</v>
      </c>
      <c r="H38" s="2" t="s">
        <v>13763</v>
      </c>
      <c r="I38" s="2">
        <v>1</v>
      </c>
      <c r="J38" s="2" t="s">
        <v>13836</v>
      </c>
      <c r="K38" s="2"/>
      <c r="L38" s="2" t="s">
        <v>13657</v>
      </c>
      <c r="M38" s="2" t="s">
        <v>9</v>
      </c>
      <c r="N38" s="2" t="s">
        <v>3887</v>
      </c>
      <c r="O38" s="2" t="s">
        <v>816</v>
      </c>
      <c r="P38" s="2" t="s">
        <v>2711</v>
      </c>
    </row>
    <row r="39" spans="1:16" ht="13.2" customHeight="1" x14ac:dyDescent="0.25">
      <c r="A39" s="2">
        <v>37</v>
      </c>
      <c r="B39" s="2" t="s">
        <v>13837</v>
      </c>
      <c r="C39" s="2"/>
      <c r="D39" s="2" t="s">
        <v>13762</v>
      </c>
      <c r="E39" s="2" t="s">
        <v>13763</v>
      </c>
      <c r="F39" s="2" t="s">
        <v>13764</v>
      </c>
      <c r="G39" s="2" t="s">
        <v>13765</v>
      </c>
      <c r="H39" s="2" t="s">
        <v>13769</v>
      </c>
      <c r="I39" s="2">
        <v>1</v>
      </c>
      <c r="J39" s="2" t="s">
        <v>13838</v>
      </c>
      <c r="K39" s="2"/>
      <c r="L39" s="2" t="s">
        <v>13645</v>
      </c>
      <c r="M39" s="2" t="s">
        <v>9</v>
      </c>
      <c r="N39" s="2" t="s">
        <v>13839</v>
      </c>
      <c r="O39" s="2" t="s">
        <v>816</v>
      </c>
      <c r="P39" s="2" t="s">
        <v>2711</v>
      </c>
    </row>
    <row r="40" spans="1:16" ht="13.2" customHeight="1" x14ac:dyDescent="0.25">
      <c r="A40" s="2">
        <v>38</v>
      </c>
      <c r="B40" s="2" t="s">
        <v>13840</v>
      </c>
      <c r="C40" s="2"/>
      <c r="D40" s="2" t="s">
        <v>13765</v>
      </c>
      <c r="E40" s="2" t="s">
        <v>13769</v>
      </c>
      <c r="F40" s="2" t="s">
        <v>13770</v>
      </c>
      <c r="G40" s="2" t="s">
        <v>13771</v>
      </c>
      <c r="H40" s="2" t="s">
        <v>13775</v>
      </c>
      <c r="I40" s="2">
        <v>1</v>
      </c>
      <c r="J40" s="2" t="s">
        <v>13841</v>
      </c>
      <c r="K40" s="2"/>
      <c r="L40" s="2" t="s">
        <v>13657</v>
      </c>
      <c r="M40" s="2" t="s">
        <v>9</v>
      </c>
      <c r="N40" s="2" t="s">
        <v>3936</v>
      </c>
      <c r="O40" s="2" t="s">
        <v>816</v>
      </c>
      <c r="P40" s="2" t="s">
        <v>2711</v>
      </c>
    </row>
    <row r="41" spans="1:16" ht="13.2" customHeight="1" x14ac:dyDescent="0.25">
      <c r="A41" s="2">
        <v>39</v>
      </c>
      <c r="B41" s="2" t="s">
        <v>13842</v>
      </c>
      <c r="C41" s="2"/>
      <c r="D41" s="2" t="s">
        <v>13771</v>
      </c>
      <c r="E41" s="2" t="s">
        <v>13775</v>
      </c>
      <c r="F41" s="2" t="s">
        <v>13776</v>
      </c>
      <c r="G41" s="2" t="s">
        <v>13761</v>
      </c>
      <c r="H41" s="2" t="s">
        <v>13762</v>
      </c>
      <c r="I41" s="2">
        <v>1</v>
      </c>
      <c r="J41" s="2" t="s">
        <v>13843</v>
      </c>
      <c r="K41" s="2"/>
      <c r="L41" s="2" t="s">
        <v>13631</v>
      </c>
      <c r="M41" s="2" t="s">
        <v>9</v>
      </c>
      <c r="N41" s="2" t="s">
        <v>3900</v>
      </c>
      <c r="O41" s="2" t="s">
        <v>816</v>
      </c>
      <c r="P41" s="2" t="s">
        <v>2711</v>
      </c>
    </row>
    <row r="42" spans="1:16" ht="13.2" customHeight="1" x14ac:dyDescent="0.25">
      <c r="A42" s="2">
        <v>40</v>
      </c>
      <c r="B42" s="2" t="s">
        <v>13648</v>
      </c>
      <c r="C42" s="2"/>
      <c r="D42" s="2" t="s">
        <v>13761</v>
      </c>
      <c r="E42" s="2" t="s">
        <v>13762</v>
      </c>
      <c r="F42" s="2" t="s">
        <v>13763</v>
      </c>
      <c r="G42" s="2" t="s">
        <v>13764</v>
      </c>
      <c r="H42" s="2" t="s">
        <v>13765</v>
      </c>
      <c r="I42" s="2">
        <v>1</v>
      </c>
      <c r="J42" s="2" t="s">
        <v>13766</v>
      </c>
      <c r="K42" s="2"/>
      <c r="L42" s="2" t="s">
        <v>13645</v>
      </c>
      <c r="M42" s="2" t="s">
        <v>9</v>
      </c>
      <c r="N42" s="2" t="s">
        <v>2655</v>
      </c>
      <c r="O42" s="2" t="s">
        <v>816</v>
      </c>
      <c r="P42" s="2" t="s">
        <v>2711</v>
      </c>
    </row>
    <row r="43" spans="1:16" ht="13.2" customHeight="1" x14ac:dyDescent="0.25">
      <c r="A43" s="2">
        <v>41</v>
      </c>
      <c r="B43" s="2" t="s">
        <v>13844</v>
      </c>
      <c r="C43" s="2"/>
      <c r="D43" s="2" t="s">
        <v>13764</v>
      </c>
      <c r="E43" s="2" t="s">
        <v>13765</v>
      </c>
      <c r="F43" s="2" t="s">
        <v>13769</v>
      </c>
      <c r="G43" s="2" t="s">
        <v>13770</v>
      </c>
      <c r="H43" s="2" t="s">
        <v>13771</v>
      </c>
      <c r="I43" s="2">
        <v>1</v>
      </c>
      <c r="J43" s="2" t="s">
        <v>13845</v>
      </c>
      <c r="K43" s="2"/>
      <c r="L43" s="2" t="s">
        <v>13645</v>
      </c>
      <c r="M43" s="2" t="s">
        <v>9</v>
      </c>
      <c r="N43" s="2" t="s">
        <v>3887</v>
      </c>
      <c r="O43" s="2" t="s">
        <v>816</v>
      </c>
      <c r="P43" s="2" t="s">
        <v>2711</v>
      </c>
    </row>
    <row r="44" spans="1:16" ht="13.2" customHeight="1" x14ac:dyDescent="0.25">
      <c r="A44" s="2">
        <v>42</v>
      </c>
      <c r="B44" s="2" t="s">
        <v>13846</v>
      </c>
      <c r="C44" s="2"/>
      <c r="D44" s="2" t="s">
        <v>13770</v>
      </c>
      <c r="E44" s="2" t="s">
        <v>13771</v>
      </c>
      <c r="F44" s="2" t="s">
        <v>13775</v>
      </c>
      <c r="G44" s="2" t="s">
        <v>13776</v>
      </c>
      <c r="H44" s="2" t="s">
        <v>13761</v>
      </c>
      <c r="I44" s="2">
        <v>1</v>
      </c>
      <c r="J44" s="2" t="s">
        <v>13847</v>
      </c>
      <c r="K44" s="2"/>
      <c r="L44" s="2" t="s">
        <v>13658</v>
      </c>
      <c r="M44" s="2" t="s">
        <v>9</v>
      </c>
      <c r="N44" s="2" t="s">
        <v>1669</v>
      </c>
      <c r="O44" s="2" t="s">
        <v>816</v>
      </c>
      <c r="P44" s="2" t="s">
        <v>2711</v>
      </c>
    </row>
    <row r="45" spans="1:16" ht="13.2" customHeight="1" x14ac:dyDescent="0.25">
      <c r="A45" s="2">
        <v>43</v>
      </c>
      <c r="B45" s="2" t="s">
        <v>13848</v>
      </c>
      <c r="C45" s="2"/>
      <c r="D45" s="2" t="s">
        <v>13776</v>
      </c>
      <c r="E45" s="2" t="s">
        <v>13761</v>
      </c>
      <c r="F45" s="2" t="s">
        <v>13762</v>
      </c>
      <c r="G45" s="2" t="s">
        <v>13763</v>
      </c>
      <c r="H45" s="2" t="s">
        <v>13764</v>
      </c>
      <c r="I45" s="2">
        <v>3</v>
      </c>
      <c r="J45" s="2" t="s">
        <v>13849</v>
      </c>
      <c r="K45" s="2"/>
      <c r="L45" s="2" t="s">
        <v>13645</v>
      </c>
      <c r="M45" s="2" t="s">
        <v>9</v>
      </c>
      <c r="N45" s="2" t="s">
        <v>13850</v>
      </c>
      <c r="O45" s="2" t="s">
        <v>816</v>
      </c>
      <c r="P45" s="2" t="s">
        <v>2711</v>
      </c>
    </row>
    <row r="46" spans="1:16" ht="13.2" customHeight="1" x14ac:dyDescent="0.25">
      <c r="A46" s="2">
        <v>44</v>
      </c>
      <c r="B46" s="2" t="s">
        <v>13851</v>
      </c>
      <c r="C46" s="2"/>
      <c r="D46" s="2" t="s">
        <v>13645</v>
      </c>
      <c r="E46" s="2" t="s">
        <v>13659</v>
      </c>
      <c r="F46" s="2" t="s">
        <v>13852</v>
      </c>
      <c r="G46" s="2" t="s">
        <v>13657</v>
      </c>
      <c r="H46" s="2" t="s">
        <v>13658</v>
      </c>
      <c r="I46" s="2">
        <v>3</v>
      </c>
      <c r="J46" s="2" t="s">
        <v>13853</v>
      </c>
      <c r="K46" s="2"/>
      <c r="L46" s="2" t="s">
        <v>13631</v>
      </c>
      <c r="M46" s="2" t="s">
        <v>9</v>
      </c>
      <c r="N46" s="2" t="s">
        <v>13854</v>
      </c>
      <c r="O46" s="2" t="s">
        <v>816</v>
      </c>
      <c r="P46" s="2" t="s">
        <v>2711</v>
      </c>
    </row>
    <row r="47" spans="1:16" ht="13.2" customHeight="1" x14ac:dyDescent="0.25">
      <c r="A47" s="2">
        <v>45</v>
      </c>
      <c r="B47" s="2" t="s">
        <v>13855</v>
      </c>
      <c r="C47" s="2"/>
      <c r="D47" s="2" t="s">
        <v>13856</v>
      </c>
      <c r="E47" s="2" t="s">
        <v>4730</v>
      </c>
      <c r="F47" s="2" t="s">
        <v>13857</v>
      </c>
      <c r="G47" s="2" t="s">
        <v>13858</v>
      </c>
      <c r="H47" s="2" t="s">
        <v>13859</v>
      </c>
      <c r="I47" s="2">
        <v>1</v>
      </c>
      <c r="J47" s="2" t="s">
        <v>13860</v>
      </c>
      <c r="K47" s="2"/>
      <c r="L47" s="2" t="s">
        <v>13657</v>
      </c>
      <c r="M47" s="2" t="s">
        <v>9</v>
      </c>
      <c r="N47" s="2" t="s">
        <v>13861</v>
      </c>
      <c r="O47" s="2" t="s">
        <v>816</v>
      </c>
      <c r="P47" s="2" t="s">
        <v>2711</v>
      </c>
    </row>
    <row r="48" spans="1:16" ht="409.6" x14ac:dyDescent="0.25">
      <c r="A48" s="35">
        <v>46</v>
      </c>
      <c r="B48" s="34" t="s">
        <v>13862</v>
      </c>
      <c r="C48" s="35"/>
      <c r="D48" s="34" t="s">
        <v>13655</v>
      </c>
      <c r="E48" s="34" t="s">
        <v>13863</v>
      </c>
      <c r="F48" s="34" t="s">
        <v>13657</v>
      </c>
      <c r="G48" s="34" t="s">
        <v>13864</v>
      </c>
      <c r="H48" s="34"/>
      <c r="I48" s="35">
        <v>1</v>
      </c>
      <c r="J48" s="34" t="s">
        <v>13865</v>
      </c>
      <c r="K48" s="35"/>
      <c r="L48" s="34" t="s">
        <v>13866</v>
      </c>
      <c r="M48" s="35" t="s">
        <v>9</v>
      </c>
      <c r="N48" s="34" t="s">
        <v>13867</v>
      </c>
      <c r="O48" s="35" t="s">
        <v>164</v>
      </c>
      <c r="P48" s="35" t="s">
        <v>2017</v>
      </c>
    </row>
    <row r="49" spans="1:16" ht="409.6" x14ac:dyDescent="0.25">
      <c r="A49" s="35">
        <v>47</v>
      </c>
      <c r="B49" s="34" t="s">
        <v>13868</v>
      </c>
      <c r="C49" s="35"/>
      <c r="D49" s="34" t="s">
        <v>13645</v>
      </c>
      <c r="E49" s="34" t="s">
        <v>13658</v>
      </c>
      <c r="F49" s="34" t="s">
        <v>13657</v>
      </c>
      <c r="G49" s="34" t="s">
        <v>13869</v>
      </c>
      <c r="H49" s="34"/>
      <c r="I49" s="35">
        <v>1</v>
      </c>
      <c r="J49" s="34" t="s">
        <v>13870</v>
      </c>
      <c r="K49" s="35"/>
      <c r="L49" s="34" t="s">
        <v>13866</v>
      </c>
      <c r="M49" s="35" t="s">
        <v>9</v>
      </c>
      <c r="N49" s="34" t="s">
        <v>13871</v>
      </c>
      <c r="O49" s="35" t="s">
        <v>164</v>
      </c>
      <c r="P49" s="35" t="s">
        <v>2017</v>
      </c>
    </row>
    <row r="50" spans="1:16" ht="409.6" x14ac:dyDescent="0.25">
      <c r="A50" s="35">
        <v>48</v>
      </c>
      <c r="B50" s="34" t="s">
        <v>13872</v>
      </c>
      <c r="C50" s="35"/>
      <c r="D50" s="34" t="s">
        <v>13873</v>
      </c>
      <c r="E50" s="34" t="s">
        <v>13874</v>
      </c>
      <c r="F50" s="34" t="s">
        <v>13875</v>
      </c>
      <c r="G50" s="34" t="s">
        <v>13876</v>
      </c>
      <c r="H50" s="34" t="s">
        <v>13877</v>
      </c>
      <c r="I50" s="35">
        <v>1</v>
      </c>
      <c r="J50" s="34" t="s">
        <v>13878</v>
      </c>
      <c r="K50" s="35"/>
      <c r="L50" s="34" t="s">
        <v>13866</v>
      </c>
      <c r="M50" s="35" t="s">
        <v>9</v>
      </c>
      <c r="N50" s="34" t="s">
        <v>13879</v>
      </c>
      <c r="O50" s="35" t="s">
        <v>164</v>
      </c>
      <c r="P50" s="35" t="s">
        <v>2109</v>
      </c>
    </row>
    <row r="51" spans="1:16" ht="409.6" x14ac:dyDescent="0.25">
      <c r="A51" s="35">
        <v>49</v>
      </c>
      <c r="B51" s="34" t="s">
        <v>13880</v>
      </c>
      <c r="C51" s="35"/>
      <c r="D51" s="34" t="s">
        <v>13881</v>
      </c>
      <c r="E51" s="34" t="s">
        <v>13882</v>
      </c>
      <c r="F51" s="34" t="s">
        <v>13883</v>
      </c>
      <c r="G51" s="34" t="s">
        <v>13884</v>
      </c>
      <c r="H51" s="34" t="s">
        <v>13885</v>
      </c>
      <c r="I51" s="35">
        <v>1</v>
      </c>
      <c r="J51" s="34" t="s">
        <v>13886</v>
      </c>
      <c r="K51" s="35"/>
      <c r="L51" s="34" t="s">
        <v>13866</v>
      </c>
      <c r="M51" s="35" t="s">
        <v>9</v>
      </c>
      <c r="N51" s="34" t="s">
        <v>13887</v>
      </c>
      <c r="O51" s="35" t="s">
        <v>164</v>
      </c>
      <c r="P51" s="35" t="s">
        <v>2109</v>
      </c>
    </row>
    <row r="52" spans="1:16" ht="409.6" x14ac:dyDescent="0.25">
      <c r="A52" s="35">
        <v>50</v>
      </c>
      <c r="B52" s="34" t="s">
        <v>13888</v>
      </c>
      <c r="C52" s="35"/>
      <c r="D52" s="34" t="s">
        <v>13889</v>
      </c>
      <c r="E52" s="34" t="s">
        <v>13890</v>
      </c>
      <c r="F52" s="34" t="s">
        <v>13891</v>
      </c>
      <c r="G52" s="34" t="s">
        <v>13892</v>
      </c>
      <c r="H52" s="34" t="s">
        <v>13893</v>
      </c>
      <c r="I52" s="35">
        <v>1</v>
      </c>
      <c r="J52" s="34" t="s">
        <v>13894</v>
      </c>
      <c r="K52" s="35"/>
      <c r="L52" s="34" t="s">
        <v>13866</v>
      </c>
      <c r="M52" s="35" t="s">
        <v>9</v>
      </c>
      <c r="N52" s="34" t="s">
        <v>13895</v>
      </c>
      <c r="O52" s="35" t="s">
        <v>164</v>
      </c>
      <c r="P52" s="35" t="s">
        <v>2155</v>
      </c>
    </row>
    <row r="53" spans="1:16" ht="409.6" x14ac:dyDescent="0.25">
      <c r="A53" s="35">
        <v>51</v>
      </c>
      <c r="B53" s="34" t="s">
        <v>13896</v>
      </c>
      <c r="C53" s="35"/>
      <c r="D53" s="34" t="s">
        <v>13897</v>
      </c>
      <c r="E53" s="34" t="s">
        <v>2208</v>
      </c>
      <c r="F53" s="34" t="s">
        <v>13898</v>
      </c>
      <c r="G53" s="34" t="s">
        <v>13899</v>
      </c>
      <c r="H53" s="34" t="s">
        <v>13900</v>
      </c>
      <c r="I53" s="35">
        <v>1</v>
      </c>
      <c r="J53" s="34" t="s">
        <v>13901</v>
      </c>
      <c r="K53" s="35"/>
      <c r="L53" s="34" t="s">
        <v>13866</v>
      </c>
      <c r="M53" s="35" t="s">
        <v>9</v>
      </c>
      <c r="N53" s="34" t="s">
        <v>13902</v>
      </c>
      <c r="O53" s="35" t="s">
        <v>164</v>
      </c>
      <c r="P53" s="35" t="s">
        <v>2155</v>
      </c>
    </row>
    <row r="54" spans="1:16" ht="409.6" x14ac:dyDescent="0.25">
      <c r="A54" s="35">
        <v>52</v>
      </c>
      <c r="B54" s="34" t="s">
        <v>13903</v>
      </c>
      <c r="C54" s="35"/>
      <c r="D54" s="34" t="s">
        <v>13904</v>
      </c>
      <c r="E54" s="34" t="s">
        <v>13905</v>
      </c>
      <c r="F54" s="34" t="s">
        <v>13906</v>
      </c>
      <c r="G54" s="34" t="s">
        <v>13907</v>
      </c>
      <c r="H54" s="34" t="s">
        <v>13908</v>
      </c>
      <c r="I54" s="35">
        <v>1</v>
      </c>
      <c r="J54" s="34" t="s">
        <v>13909</v>
      </c>
      <c r="K54" s="35"/>
      <c r="L54" s="34" t="s">
        <v>13866</v>
      </c>
      <c r="M54" s="35" t="s">
        <v>9</v>
      </c>
      <c r="N54" s="34" t="s">
        <v>13910</v>
      </c>
      <c r="O54" s="35" t="s">
        <v>164</v>
      </c>
      <c r="P54" s="35" t="s">
        <v>2155</v>
      </c>
    </row>
    <row r="55" spans="1:16" ht="409.6" x14ac:dyDescent="0.25">
      <c r="A55" s="35">
        <v>53</v>
      </c>
      <c r="B55" s="34" t="s">
        <v>13911</v>
      </c>
      <c r="C55" s="35"/>
      <c r="D55" s="34" t="s">
        <v>13912</v>
      </c>
      <c r="E55" s="34" t="s">
        <v>13913</v>
      </c>
      <c r="F55" s="34" t="s">
        <v>13914</v>
      </c>
      <c r="G55" s="34" t="s">
        <v>13915</v>
      </c>
      <c r="H55" s="34" t="s">
        <v>13916</v>
      </c>
      <c r="I55" s="35">
        <v>1</v>
      </c>
      <c r="J55" s="34" t="s">
        <v>13917</v>
      </c>
      <c r="K55" s="35"/>
      <c r="L55" s="34" t="s">
        <v>13866</v>
      </c>
      <c r="M55" s="35" t="s">
        <v>9</v>
      </c>
      <c r="N55" s="34" t="s">
        <v>13918</v>
      </c>
      <c r="O55" s="35" t="s">
        <v>164</v>
      </c>
      <c r="P55" s="35" t="s">
        <v>2155</v>
      </c>
    </row>
    <row r="56" spans="1:16" ht="409.6" x14ac:dyDescent="0.25">
      <c r="A56" s="35">
        <v>54</v>
      </c>
      <c r="B56" s="34" t="s">
        <v>13919</v>
      </c>
      <c r="C56" s="35"/>
      <c r="D56" s="34" t="s">
        <v>13920</v>
      </c>
      <c r="E56" s="34" t="s">
        <v>6729</v>
      </c>
      <c r="F56" s="34" t="s">
        <v>13921</v>
      </c>
      <c r="G56" s="34" t="s">
        <v>13922</v>
      </c>
      <c r="H56" s="34" t="s">
        <v>13923</v>
      </c>
      <c r="I56" s="35">
        <v>1</v>
      </c>
      <c r="J56" s="34" t="s">
        <v>13924</v>
      </c>
      <c r="K56" s="35"/>
      <c r="L56" s="34" t="s">
        <v>13866</v>
      </c>
      <c r="M56" s="35" t="s">
        <v>9</v>
      </c>
      <c r="N56" s="34" t="s">
        <v>13925</v>
      </c>
      <c r="O56" s="35" t="s">
        <v>164</v>
      </c>
      <c r="P56" s="35" t="s">
        <v>2155</v>
      </c>
    </row>
    <row r="57" spans="1:16" ht="409.6" x14ac:dyDescent="0.25">
      <c r="A57" s="35">
        <v>55</v>
      </c>
      <c r="B57" s="34" t="s">
        <v>13926</v>
      </c>
      <c r="C57" s="35"/>
      <c r="D57" s="34" t="s">
        <v>13927</v>
      </c>
      <c r="E57" s="34" t="s">
        <v>13928</v>
      </c>
      <c r="F57" s="34" t="s">
        <v>13929</v>
      </c>
      <c r="G57" s="34" t="s">
        <v>13930</v>
      </c>
      <c r="H57" s="34" t="s">
        <v>13931</v>
      </c>
      <c r="I57" s="35">
        <v>1</v>
      </c>
      <c r="J57" s="34" t="s">
        <v>13932</v>
      </c>
      <c r="K57" s="35"/>
      <c r="L57" s="34" t="s">
        <v>13866</v>
      </c>
      <c r="M57" s="35" t="s">
        <v>9</v>
      </c>
      <c r="N57" s="34" t="s">
        <v>13933</v>
      </c>
      <c r="O57" s="35" t="s">
        <v>164</v>
      </c>
      <c r="P57" s="35" t="s">
        <v>2155</v>
      </c>
    </row>
    <row r="58" spans="1:16" ht="409.6" x14ac:dyDescent="0.25">
      <c r="A58" s="35">
        <v>56</v>
      </c>
      <c r="B58" s="34" t="s">
        <v>13934</v>
      </c>
      <c r="C58" s="35" t="s">
        <v>13935</v>
      </c>
      <c r="D58" s="34" t="s">
        <v>13936</v>
      </c>
      <c r="E58" s="34" t="s">
        <v>13937</v>
      </c>
      <c r="F58" s="34" t="s">
        <v>13938</v>
      </c>
      <c r="G58" s="34" t="s">
        <v>13939</v>
      </c>
      <c r="H58" s="34" t="s">
        <v>13940</v>
      </c>
      <c r="I58" s="35">
        <v>1</v>
      </c>
      <c r="J58" s="34" t="s">
        <v>13941</v>
      </c>
      <c r="K58" s="35"/>
      <c r="L58" s="34" t="s">
        <v>13866</v>
      </c>
      <c r="M58" s="35" t="s">
        <v>9</v>
      </c>
      <c r="N58" s="34" t="s">
        <v>13942</v>
      </c>
      <c r="O58" s="35" t="s">
        <v>164</v>
      </c>
      <c r="P58" s="35" t="s">
        <v>2155</v>
      </c>
    </row>
    <row r="59" spans="1:16" ht="409.6" x14ac:dyDescent="0.25">
      <c r="A59" s="35">
        <v>57</v>
      </c>
      <c r="B59" s="34" t="s">
        <v>13943</v>
      </c>
      <c r="C59" s="35" t="s">
        <v>13944</v>
      </c>
      <c r="D59" s="34" t="s">
        <v>10491</v>
      </c>
      <c r="E59" s="34" t="s">
        <v>12091</v>
      </c>
      <c r="F59" s="34" t="s">
        <v>13945</v>
      </c>
      <c r="G59" s="34" t="s">
        <v>13946</v>
      </c>
      <c r="H59" s="34" t="s">
        <v>13947</v>
      </c>
      <c r="I59" s="35">
        <v>1</v>
      </c>
      <c r="J59" s="34" t="s">
        <v>13948</v>
      </c>
      <c r="K59" s="35"/>
      <c r="L59" s="34" t="s">
        <v>13866</v>
      </c>
      <c r="M59" s="35" t="s">
        <v>9</v>
      </c>
      <c r="N59" s="34" t="s">
        <v>13949</v>
      </c>
      <c r="O59" s="35" t="s">
        <v>164</v>
      </c>
      <c r="P59" s="35" t="s">
        <v>2155</v>
      </c>
    </row>
    <row r="60" spans="1:16" ht="409.6" x14ac:dyDescent="0.25">
      <c r="A60" s="35">
        <v>58</v>
      </c>
      <c r="B60" s="34" t="s">
        <v>13950</v>
      </c>
      <c r="C60" s="35"/>
      <c r="D60" s="34" t="s">
        <v>13951</v>
      </c>
      <c r="E60" s="34" t="s">
        <v>13952</v>
      </c>
      <c r="F60" s="34" t="s">
        <v>13657</v>
      </c>
      <c r="G60" s="34" t="s">
        <v>13658</v>
      </c>
      <c r="H60" s="34" t="s">
        <v>13953</v>
      </c>
      <c r="I60" s="35">
        <v>1</v>
      </c>
      <c r="J60" s="34" t="s">
        <v>13954</v>
      </c>
      <c r="K60" s="35"/>
      <c r="L60" s="34" t="s">
        <v>13866</v>
      </c>
      <c r="M60" s="35" t="s">
        <v>9</v>
      </c>
      <c r="N60" s="34" t="s">
        <v>13955</v>
      </c>
      <c r="O60" s="35" t="s">
        <v>164</v>
      </c>
      <c r="P60" s="35" t="s">
        <v>2155</v>
      </c>
    </row>
    <row r="61" spans="1:16" ht="409.6" x14ac:dyDescent="0.25">
      <c r="A61" s="35">
        <v>59</v>
      </c>
      <c r="B61" s="34" t="s">
        <v>13956</v>
      </c>
      <c r="C61" s="35"/>
      <c r="D61" s="34" t="s">
        <v>13645</v>
      </c>
      <c r="E61" s="34" t="s">
        <v>13957</v>
      </c>
      <c r="F61" s="34" t="s">
        <v>13958</v>
      </c>
      <c r="G61" s="34" t="s">
        <v>13959</v>
      </c>
      <c r="H61" s="34" t="s">
        <v>13960</v>
      </c>
      <c r="I61" s="35">
        <v>1</v>
      </c>
      <c r="J61" s="34" t="s">
        <v>13961</v>
      </c>
      <c r="K61" s="35"/>
      <c r="L61" s="34" t="s">
        <v>13866</v>
      </c>
      <c r="M61" s="35" t="s">
        <v>9</v>
      </c>
      <c r="N61" s="34" t="s">
        <v>13962</v>
      </c>
      <c r="O61" s="35" t="s">
        <v>164</v>
      </c>
      <c r="P61" s="35" t="s">
        <v>2155</v>
      </c>
    </row>
    <row r="62" spans="1:16" ht="409.6" x14ac:dyDescent="0.25">
      <c r="A62" s="35">
        <v>60</v>
      </c>
      <c r="B62" s="34" t="s">
        <v>13963</v>
      </c>
      <c r="C62" s="35"/>
      <c r="D62" s="34" t="s">
        <v>13217</v>
      </c>
      <c r="E62" s="34" t="s">
        <v>13215</v>
      </c>
      <c r="F62" s="34" t="s">
        <v>13214</v>
      </c>
      <c r="G62" s="34" t="s">
        <v>13964</v>
      </c>
      <c r="H62" s="34" t="s">
        <v>13965</v>
      </c>
      <c r="I62" s="35">
        <v>1</v>
      </c>
      <c r="J62" s="34" t="s">
        <v>13966</v>
      </c>
      <c r="K62" s="35"/>
      <c r="L62" s="34" t="s">
        <v>13866</v>
      </c>
      <c r="M62" s="35" t="s">
        <v>9</v>
      </c>
      <c r="N62" s="34" t="s">
        <v>13967</v>
      </c>
      <c r="O62" s="35" t="s">
        <v>164</v>
      </c>
      <c r="P62" s="35" t="s">
        <v>2155</v>
      </c>
    </row>
    <row r="63" spans="1:16" ht="409.6" x14ac:dyDescent="0.25">
      <c r="A63" s="35">
        <v>61</v>
      </c>
      <c r="B63" s="34" t="s">
        <v>13968</v>
      </c>
      <c r="C63" s="35"/>
      <c r="D63" s="34" t="s">
        <v>13969</v>
      </c>
      <c r="E63" s="34" t="s">
        <v>13970</v>
      </c>
      <c r="F63" s="34" t="s">
        <v>13971</v>
      </c>
      <c r="G63" s="34" t="s">
        <v>13972</v>
      </c>
      <c r="H63" s="34" t="s">
        <v>13973</v>
      </c>
      <c r="I63" s="35">
        <v>1</v>
      </c>
      <c r="J63" s="34" t="s">
        <v>13974</v>
      </c>
      <c r="K63" s="35"/>
      <c r="L63" s="34" t="s">
        <v>13866</v>
      </c>
      <c r="M63" s="35" t="s">
        <v>9</v>
      </c>
      <c r="N63" s="34" t="s">
        <v>13975</v>
      </c>
      <c r="O63" s="35" t="s">
        <v>164</v>
      </c>
      <c r="P63" s="35" t="s">
        <v>2155</v>
      </c>
    </row>
    <row r="64" spans="1:16" ht="409.6" x14ac:dyDescent="0.25">
      <c r="A64" s="35">
        <v>62</v>
      </c>
      <c r="B64" s="34" t="s">
        <v>13976</v>
      </c>
      <c r="C64" s="35"/>
      <c r="D64" s="34" t="s">
        <v>13977</v>
      </c>
      <c r="E64" s="34" t="s">
        <v>13978</v>
      </c>
      <c r="F64" s="34" t="s">
        <v>13979</v>
      </c>
      <c r="G64" s="34" t="s">
        <v>13980</v>
      </c>
      <c r="H64" s="34" t="s">
        <v>13981</v>
      </c>
      <c r="I64" s="35">
        <v>1</v>
      </c>
      <c r="J64" s="34" t="s">
        <v>13982</v>
      </c>
      <c r="K64" s="35"/>
      <c r="L64" s="34" t="s">
        <v>13866</v>
      </c>
      <c r="M64" s="35" t="s">
        <v>9</v>
      </c>
      <c r="N64" s="34" t="s">
        <v>13983</v>
      </c>
      <c r="O64" s="35" t="s">
        <v>164</v>
      </c>
      <c r="P64" s="35" t="s">
        <v>2155</v>
      </c>
    </row>
    <row r="65" spans="1:16" ht="409.6" x14ac:dyDescent="0.25">
      <c r="A65" s="35">
        <v>63</v>
      </c>
      <c r="B65" s="34" t="s">
        <v>13984</v>
      </c>
      <c r="C65" s="35"/>
      <c r="D65" s="34" t="s">
        <v>13645</v>
      </c>
      <c r="E65" s="34" t="s">
        <v>13659</v>
      </c>
      <c r="F65" s="34" t="s">
        <v>13985</v>
      </c>
      <c r="G65" s="34" t="s">
        <v>13657</v>
      </c>
      <c r="H65" s="34" t="s">
        <v>13986</v>
      </c>
      <c r="I65" s="35">
        <v>1</v>
      </c>
      <c r="J65" s="34" t="s">
        <v>13987</v>
      </c>
      <c r="K65" s="35"/>
      <c r="L65" s="34" t="s">
        <v>13866</v>
      </c>
      <c r="M65" s="35" t="s">
        <v>9</v>
      </c>
      <c r="N65" s="34" t="s">
        <v>13988</v>
      </c>
      <c r="O65" s="35" t="s">
        <v>164</v>
      </c>
      <c r="P65" s="35" t="s">
        <v>2155</v>
      </c>
    </row>
    <row r="66" spans="1:16" ht="409.6" x14ac:dyDescent="0.25">
      <c r="A66" s="35">
        <v>64</v>
      </c>
      <c r="B66" s="34" t="s">
        <v>13989</v>
      </c>
      <c r="C66" s="35"/>
      <c r="D66" s="34" t="s">
        <v>13990</v>
      </c>
      <c r="E66" s="34" t="s">
        <v>13991</v>
      </c>
      <c r="F66" s="34" t="s">
        <v>13992</v>
      </c>
      <c r="G66" s="34" t="s">
        <v>13993</v>
      </c>
      <c r="H66" s="34" t="s">
        <v>13994</v>
      </c>
      <c r="I66" s="35">
        <v>1</v>
      </c>
      <c r="J66" s="34" t="s">
        <v>13995</v>
      </c>
      <c r="K66" s="35"/>
      <c r="L66" s="34" t="s">
        <v>13866</v>
      </c>
      <c r="M66" s="35" t="s">
        <v>9</v>
      </c>
      <c r="N66" s="34" t="s">
        <v>13996</v>
      </c>
      <c r="O66" s="35" t="s">
        <v>164</v>
      </c>
      <c r="P66" s="35" t="s">
        <v>2155</v>
      </c>
    </row>
    <row r="67" spans="1:16" ht="409.6" x14ac:dyDescent="0.25">
      <c r="A67" s="35">
        <v>65</v>
      </c>
      <c r="B67" s="34" t="s">
        <v>13997</v>
      </c>
      <c r="C67" s="35" t="s">
        <v>13998</v>
      </c>
      <c r="D67" s="34" t="s">
        <v>13999</v>
      </c>
      <c r="E67" s="34" t="s">
        <v>13631</v>
      </c>
      <c r="F67" s="34" t="s">
        <v>14000</v>
      </c>
      <c r="G67" s="34" t="s">
        <v>13658</v>
      </c>
      <c r="H67" s="34" t="s">
        <v>14001</v>
      </c>
      <c r="I67" s="35">
        <v>1</v>
      </c>
      <c r="J67" s="34" t="s">
        <v>14002</v>
      </c>
      <c r="K67" s="35"/>
      <c r="L67" s="34" t="s">
        <v>13866</v>
      </c>
      <c r="M67" s="35" t="s">
        <v>9</v>
      </c>
      <c r="N67" s="34" t="s">
        <v>14003</v>
      </c>
      <c r="O67" s="35" t="s">
        <v>164</v>
      </c>
      <c r="P67" s="35" t="s">
        <v>2155</v>
      </c>
    </row>
    <row r="68" spans="1:16" ht="409.6" x14ac:dyDescent="0.25">
      <c r="A68" s="35">
        <v>66</v>
      </c>
      <c r="B68" s="34" t="s">
        <v>14004</v>
      </c>
      <c r="C68" s="35"/>
      <c r="D68" s="34" t="s">
        <v>13645</v>
      </c>
      <c r="E68" s="34" t="s">
        <v>13668</v>
      </c>
      <c r="F68" s="34" t="s">
        <v>13658</v>
      </c>
      <c r="G68" s="34" t="s">
        <v>13657</v>
      </c>
      <c r="H68" s="34" t="s">
        <v>14005</v>
      </c>
      <c r="I68" s="35">
        <v>5</v>
      </c>
      <c r="J68" s="34" t="s">
        <v>14006</v>
      </c>
      <c r="K68" s="35"/>
      <c r="L68" s="34" t="s">
        <v>13866</v>
      </c>
      <c r="M68" s="35" t="s">
        <v>9</v>
      </c>
      <c r="N68" s="34" t="s">
        <v>14007</v>
      </c>
      <c r="O68" s="35" t="s">
        <v>164</v>
      </c>
      <c r="P68" s="35" t="s">
        <v>3354</v>
      </c>
    </row>
    <row r="69" spans="1:16" ht="409.6" x14ac:dyDescent="0.25">
      <c r="A69" s="35">
        <v>67</v>
      </c>
      <c r="B69" s="34" t="s">
        <v>14008</v>
      </c>
      <c r="C69" s="35"/>
      <c r="D69" s="34" t="s">
        <v>13936</v>
      </c>
      <c r="E69" s="34" t="s">
        <v>13937</v>
      </c>
      <c r="F69" s="34" t="s">
        <v>13938</v>
      </c>
      <c r="G69" s="34" t="s">
        <v>13939</v>
      </c>
      <c r="H69" s="34" t="s">
        <v>14009</v>
      </c>
      <c r="I69" s="35">
        <v>4</v>
      </c>
      <c r="J69" s="34" t="s">
        <v>14010</v>
      </c>
      <c r="K69" s="35"/>
      <c r="L69" s="34" t="s">
        <v>13866</v>
      </c>
      <c r="M69" s="35" t="s">
        <v>9</v>
      </c>
      <c r="N69" s="34" t="s">
        <v>14011</v>
      </c>
      <c r="O69" s="35" t="s">
        <v>164</v>
      </c>
      <c r="P69" s="35" t="s">
        <v>3354</v>
      </c>
    </row>
    <row r="70" spans="1:16" ht="409.6" x14ac:dyDescent="0.25">
      <c r="A70" s="35">
        <v>68</v>
      </c>
      <c r="B70" s="34" t="s">
        <v>14012</v>
      </c>
      <c r="C70" s="35"/>
      <c r="D70" s="34" t="s">
        <v>10491</v>
      </c>
      <c r="E70" s="34" t="s">
        <v>12091</v>
      </c>
      <c r="F70" s="34" t="s">
        <v>13945</v>
      </c>
      <c r="G70" s="34" t="s">
        <v>13946</v>
      </c>
      <c r="H70" s="34" t="s">
        <v>14013</v>
      </c>
      <c r="I70" s="35">
        <v>5</v>
      </c>
      <c r="J70" s="34" t="s">
        <v>14014</v>
      </c>
      <c r="K70" s="35"/>
      <c r="L70" s="34" t="s">
        <v>13866</v>
      </c>
      <c r="M70" s="35" t="s">
        <v>9</v>
      </c>
      <c r="N70" s="34" t="s">
        <v>14015</v>
      </c>
      <c r="O70" s="35" t="s">
        <v>164</v>
      </c>
      <c r="P70" s="35" t="s">
        <v>3354</v>
      </c>
    </row>
    <row r="71" spans="1:16" ht="409.6" x14ac:dyDescent="0.25">
      <c r="A71" s="35">
        <v>69</v>
      </c>
      <c r="B71" s="34" t="s">
        <v>14016</v>
      </c>
      <c r="C71" s="35"/>
      <c r="D71" s="34" t="s">
        <v>13951</v>
      </c>
      <c r="E71" s="34" t="s">
        <v>14017</v>
      </c>
      <c r="F71" s="34" t="s">
        <v>13657</v>
      </c>
      <c r="G71" s="34" t="s">
        <v>13658</v>
      </c>
      <c r="H71" s="34" t="s">
        <v>14018</v>
      </c>
      <c r="I71" s="35">
        <v>5</v>
      </c>
      <c r="J71" s="34" t="s">
        <v>14019</v>
      </c>
      <c r="K71" s="35"/>
      <c r="L71" s="34" t="s">
        <v>13866</v>
      </c>
      <c r="M71" s="35" t="s">
        <v>9</v>
      </c>
      <c r="N71" s="34" t="s">
        <v>14020</v>
      </c>
      <c r="O71" s="35" t="s">
        <v>164</v>
      </c>
      <c r="P71" s="35" t="s">
        <v>3354</v>
      </c>
    </row>
    <row r="72" spans="1:16" ht="409.6" x14ac:dyDescent="0.25">
      <c r="A72" s="35">
        <v>70</v>
      </c>
      <c r="B72" s="34" t="s">
        <v>14021</v>
      </c>
      <c r="C72" s="35"/>
      <c r="D72" s="34" t="s">
        <v>14022</v>
      </c>
      <c r="E72" s="34" t="s">
        <v>14023</v>
      </c>
      <c r="F72" s="34" t="s">
        <v>14024</v>
      </c>
      <c r="G72" s="34" t="s">
        <v>14025</v>
      </c>
      <c r="H72" s="34" t="s">
        <v>14026</v>
      </c>
      <c r="I72" s="35">
        <v>1</v>
      </c>
      <c r="J72" s="34" t="s">
        <v>14027</v>
      </c>
      <c r="K72" s="35"/>
      <c r="L72" s="34" t="s">
        <v>13866</v>
      </c>
      <c r="M72" s="35" t="s">
        <v>9</v>
      </c>
      <c r="N72" s="34" t="s">
        <v>14028</v>
      </c>
      <c r="O72" s="35" t="s">
        <v>164</v>
      </c>
      <c r="P72" s="35" t="s">
        <v>2206</v>
      </c>
    </row>
    <row r="73" spans="1:16" ht="409.6" x14ac:dyDescent="0.25">
      <c r="A73" s="35">
        <v>71</v>
      </c>
      <c r="B73" s="34" t="s">
        <v>14029</v>
      </c>
      <c r="C73" s="35"/>
      <c r="D73" s="34" t="s">
        <v>13214</v>
      </c>
      <c r="E73" s="34" t="s">
        <v>13215</v>
      </c>
      <c r="F73" s="34" t="s">
        <v>13216</v>
      </c>
      <c r="G73" s="34" t="s">
        <v>13217</v>
      </c>
      <c r="H73" s="34" t="s">
        <v>13964</v>
      </c>
      <c r="I73" s="35">
        <v>1</v>
      </c>
      <c r="J73" s="34" t="s">
        <v>14030</v>
      </c>
      <c r="K73" s="35"/>
      <c r="L73" s="34" t="s">
        <v>13866</v>
      </c>
      <c r="M73" s="35" t="s">
        <v>9</v>
      </c>
      <c r="N73" s="34" t="s">
        <v>14031</v>
      </c>
      <c r="O73" s="35" t="s">
        <v>164</v>
      </c>
      <c r="P73" s="35" t="s">
        <v>2271</v>
      </c>
    </row>
    <row r="74" spans="1:16" ht="409.6" x14ac:dyDescent="0.25">
      <c r="A74" s="35">
        <v>72</v>
      </c>
      <c r="B74" s="34" t="s">
        <v>14032</v>
      </c>
      <c r="C74" s="35"/>
      <c r="D74" s="34" t="s">
        <v>14033</v>
      </c>
      <c r="E74" s="34" t="s">
        <v>14034</v>
      </c>
      <c r="F74" s="34" t="s">
        <v>14035</v>
      </c>
      <c r="G74" s="34" t="s">
        <v>14036</v>
      </c>
      <c r="H74" s="34" t="s">
        <v>14037</v>
      </c>
      <c r="I74" s="35">
        <v>1</v>
      </c>
      <c r="J74" s="34" t="s">
        <v>14038</v>
      </c>
      <c r="K74" s="35"/>
      <c r="L74" s="34" t="s">
        <v>13866</v>
      </c>
      <c r="M74" s="35" t="s">
        <v>9</v>
      </c>
      <c r="N74" s="34" t="s">
        <v>14039</v>
      </c>
      <c r="O74" s="35" t="s">
        <v>164</v>
      </c>
      <c r="P74" s="35" t="s">
        <v>2271</v>
      </c>
    </row>
    <row r="75" spans="1:16" ht="409.6" x14ac:dyDescent="0.25">
      <c r="A75" s="35">
        <v>73</v>
      </c>
      <c r="B75" s="34" t="s">
        <v>14040</v>
      </c>
      <c r="C75" s="35"/>
      <c r="D75" s="34" t="s">
        <v>13716</v>
      </c>
      <c r="E75" s="34" t="s">
        <v>2827</v>
      </c>
      <c r="F75" s="34" t="s">
        <v>13717</v>
      </c>
      <c r="G75" s="34" t="s">
        <v>13718</v>
      </c>
      <c r="H75" s="34" t="s">
        <v>14041</v>
      </c>
      <c r="I75" s="35">
        <v>1</v>
      </c>
      <c r="J75" s="34" t="s">
        <v>14042</v>
      </c>
      <c r="K75" s="35"/>
      <c r="L75" s="34" t="s">
        <v>13866</v>
      </c>
      <c r="M75" s="35" t="s">
        <v>9</v>
      </c>
      <c r="N75" s="34" t="s">
        <v>14043</v>
      </c>
      <c r="O75" s="35" t="s">
        <v>164</v>
      </c>
      <c r="P75" s="35" t="s">
        <v>2271</v>
      </c>
    </row>
    <row r="76" spans="1:16" ht="409.6" x14ac:dyDescent="0.25">
      <c r="A76" s="35">
        <v>74</v>
      </c>
      <c r="B76" s="34" t="s">
        <v>14044</v>
      </c>
      <c r="C76" s="35"/>
      <c r="D76" s="34" t="s">
        <v>13645</v>
      </c>
      <c r="E76" s="34" t="s">
        <v>13658</v>
      </c>
      <c r="F76" s="34" t="s">
        <v>13657</v>
      </c>
      <c r="G76" s="34" t="s">
        <v>13985</v>
      </c>
      <c r="H76" s="34" t="s">
        <v>13659</v>
      </c>
      <c r="I76" s="35">
        <v>1</v>
      </c>
      <c r="J76" s="34" t="s">
        <v>14045</v>
      </c>
      <c r="K76" s="35"/>
      <c r="L76" s="34" t="s">
        <v>13866</v>
      </c>
      <c r="M76" s="35" t="s">
        <v>9</v>
      </c>
      <c r="N76" s="34" t="s">
        <v>14046</v>
      </c>
      <c r="O76" s="35" t="s">
        <v>164</v>
      </c>
      <c r="P76" s="35" t="s">
        <v>2271</v>
      </c>
    </row>
    <row r="77" spans="1:16" ht="409.6" x14ac:dyDescent="0.25">
      <c r="A77" s="35">
        <v>75</v>
      </c>
      <c r="B77" s="34" t="s">
        <v>14047</v>
      </c>
      <c r="C77" s="35"/>
      <c r="D77" s="34" t="s">
        <v>14048</v>
      </c>
      <c r="E77" s="34" t="s">
        <v>14049</v>
      </c>
      <c r="F77" s="34" t="s">
        <v>14050</v>
      </c>
      <c r="G77" s="34" t="s">
        <v>12165</v>
      </c>
      <c r="H77" s="34" t="s">
        <v>14051</v>
      </c>
      <c r="I77" s="35">
        <v>1</v>
      </c>
      <c r="J77" s="34" t="s">
        <v>14052</v>
      </c>
      <c r="K77" s="35"/>
      <c r="L77" s="34" t="s">
        <v>13866</v>
      </c>
      <c r="M77" s="35" t="s">
        <v>9</v>
      </c>
      <c r="N77" s="34" t="s">
        <v>14053</v>
      </c>
      <c r="O77" s="35" t="s">
        <v>164</v>
      </c>
      <c r="P77" s="35" t="s">
        <v>2271</v>
      </c>
    </row>
    <row r="78" spans="1:16" ht="409.6" x14ac:dyDescent="0.25">
      <c r="A78" s="35">
        <v>76</v>
      </c>
      <c r="B78" s="34" t="s">
        <v>14054</v>
      </c>
      <c r="C78" s="35"/>
      <c r="D78" s="34" t="s">
        <v>14055</v>
      </c>
      <c r="E78" s="34" t="s">
        <v>14056</v>
      </c>
      <c r="F78" s="34" t="s">
        <v>14057</v>
      </c>
      <c r="G78" s="34" t="s">
        <v>14058</v>
      </c>
      <c r="H78" s="34" t="s">
        <v>14059</v>
      </c>
      <c r="I78" s="35">
        <v>1</v>
      </c>
      <c r="J78" s="34" t="s">
        <v>14060</v>
      </c>
      <c r="K78" s="35"/>
      <c r="L78" s="34" t="s">
        <v>13866</v>
      </c>
      <c r="M78" s="35" t="s">
        <v>9</v>
      </c>
      <c r="N78" s="34" t="s">
        <v>14061</v>
      </c>
      <c r="O78" s="35" t="s">
        <v>164</v>
      </c>
      <c r="P78" s="35" t="s">
        <v>2271</v>
      </c>
    </row>
    <row r="79" spans="1:16" ht="409.6" x14ac:dyDescent="0.25">
      <c r="A79" s="35">
        <v>77</v>
      </c>
      <c r="B79" s="34" t="s">
        <v>14062</v>
      </c>
      <c r="C79" s="35"/>
      <c r="D79" s="34" t="s">
        <v>14063</v>
      </c>
      <c r="E79" s="34" t="s">
        <v>5085</v>
      </c>
      <c r="F79" s="34" t="s">
        <v>14064</v>
      </c>
      <c r="G79" s="34" t="s">
        <v>14065</v>
      </c>
      <c r="H79" s="34" t="s">
        <v>14066</v>
      </c>
      <c r="I79" s="35">
        <v>1</v>
      </c>
      <c r="J79" s="34" t="s">
        <v>14067</v>
      </c>
      <c r="K79" s="35"/>
      <c r="L79" s="34" t="s">
        <v>13866</v>
      </c>
      <c r="M79" s="35" t="s">
        <v>9</v>
      </c>
      <c r="N79" s="34" t="s">
        <v>14068</v>
      </c>
      <c r="O79" s="35" t="s">
        <v>164</v>
      </c>
      <c r="P79" s="35" t="s">
        <v>2271</v>
      </c>
    </row>
    <row r="80" spans="1:16" ht="409.6" x14ac:dyDescent="0.25">
      <c r="A80" s="35">
        <v>78</v>
      </c>
      <c r="B80" s="34" t="s">
        <v>14069</v>
      </c>
      <c r="C80" s="35"/>
      <c r="D80" s="34" t="s">
        <v>14070</v>
      </c>
      <c r="E80" s="34" t="s">
        <v>13875</v>
      </c>
      <c r="F80" s="34" t="s">
        <v>6028</v>
      </c>
      <c r="G80" s="34" t="s">
        <v>5086</v>
      </c>
      <c r="H80" s="34" t="s">
        <v>14071</v>
      </c>
      <c r="I80" s="35">
        <v>1</v>
      </c>
      <c r="J80" s="34" t="s">
        <v>14072</v>
      </c>
      <c r="K80" s="35"/>
      <c r="L80" s="34" t="s">
        <v>13866</v>
      </c>
      <c r="M80" s="35" t="s">
        <v>9</v>
      </c>
      <c r="N80" s="34" t="s">
        <v>14073</v>
      </c>
      <c r="O80" s="35" t="s">
        <v>164</v>
      </c>
      <c r="P80" s="35" t="s">
        <v>2271</v>
      </c>
    </row>
    <row r="81" spans="1:16" ht="409.6" x14ac:dyDescent="0.25">
      <c r="A81" s="35">
        <v>79</v>
      </c>
      <c r="B81" s="34" t="s">
        <v>14074</v>
      </c>
      <c r="C81" s="35"/>
      <c r="D81" s="34" t="s">
        <v>13645</v>
      </c>
      <c r="E81" s="34" t="s">
        <v>13658</v>
      </c>
      <c r="F81" s="34" t="s">
        <v>13891</v>
      </c>
      <c r="G81" s="34"/>
      <c r="H81" s="34"/>
      <c r="I81" s="35">
        <v>1</v>
      </c>
      <c r="J81" s="34" t="s">
        <v>14075</v>
      </c>
      <c r="K81" s="35"/>
      <c r="L81" s="34" t="s">
        <v>13866</v>
      </c>
      <c r="M81" s="35" t="s">
        <v>9</v>
      </c>
      <c r="N81" s="34" t="s">
        <v>14076</v>
      </c>
      <c r="O81" s="35" t="s">
        <v>164</v>
      </c>
      <c r="P81" s="35" t="s">
        <v>2436</v>
      </c>
    </row>
    <row r="82" spans="1:16" ht="409.6" x14ac:dyDescent="0.25">
      <c r="A82" s="35">
        <v>80</v>
      </c>
      <c r="B82" s="34" t="s">
        <v>14077</v>
      </c>
      <c r="C82" s="35"/>
      <c r="D82" s="34" t="s">
        <v>13655</v>
      </c>
      <c r="E82" s="34" t="s">
        <v>14078</v>
      </c>
      <c r="F82" s="34" t="s">
        <v>13863</v>
      </c>
      <c r="G82" s="34" t="s">
        <v>13658</v>
      </c>
      <c r="H82" s="34" t="s">
        <v>14079</v>
      </c>
      <c r="I82" s="35">
        <v>1</v>
      </c>
      <c r="J82" s="34" t="s">
        <v>14080</v>
      </c>
      <c r="K82" s="35"/>
      <c r="L82" s="34" t="s">
        <v>13866</v>
      </c>
      <c r="M82" s="35" t="s">
        <v>9</v>
      </c>
      <c r="N82" s="34" t="s">
        <v>14081</v>
      </c>
      <c r="O82" s="35" t="s">
        <v>164</v>
      </c>
      <c r="P82" s="35" t="s">
        <v>2436</v>
      </c>
    </row>
  </sheetData>
  <mergeCells count="1">
    <mergeCell ref="A1:F1"/>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Q1000"/>
  <sheetViews>
    <sheetView workbookViewId="0">
      <pane ySplit="2" topLeftCell="A3" activePane="bottomLeft" state="frozen"/>
      <selection pane="bottomLeft" activeCell="B4" sqref="B4"/>
    </sheetView>
  </sheetViews>
  <sheetFormatPr defaultColWidth="12.6640625" defaultRowHeight="15.75" customHeight="1" x14ac:dyDescent="0.25"/>
  <cols>
    <col min="2" max="2" width="55.77734375" customWidth="1"/>
  </cols>
  <sheetData>
    <row r="1" spans="1:17" ht="34.950000000000003" customHeight="1" x14ac:dyDescent="0.25">
      <c r="A1" s="51" t="str">
        <f>HYPERLINK("#gid=0", "🏠 กลับสู่หน้าแรก (Go to Home Page)")</f>
        <v>🏠 กลับสู่หน้าแรก (Go to Home Page)</v>
      </c>
      <c r="B1" s="49"/>
      <c r="C1" s="49"/>
      <c r="D1" s="49"/>
      <c r="E1" s="49"/>
      <c r="F1" s="49"/>
      <c r="G1" s="16"/>
      <c r="H1" s="16"/>
      <c r="I1" s="16"/>
      <c r="J1" s="16"/>
      <c r="K1" s="16"/>
      <c r="L1" s="16"/>
      <c r="M1" s="16"/>
      <c r="N1" s="16"/>
      <c r="O1" s="16"/>
      <c r="P1" s="16"/>
      <c r="Q1" s="16"/>
    </row>
    <row r="2" spans="1:17" ht="64.8" customHeight="1" x14ac:dyDescent="0.25">
      <c r="A2" s="17" t="s">
        <v>10</v>
      </c>
      <c r="B2" s="18" t="s">
        <v>11</v>
      </c>
      <c r="C2" s="17" t="s">
        <v>12</v>
      </c>
      <c r="D2" s="17" t="s">
        <v>13</v>
      </c>
      <c r="E2" s="17" t="s">
        <v>14</v>
      </c>
      <c r="F2" s="17" t="s">
        <v>15</v>
      </c>
      <c r="G2" s="17" t="s">
        <v>16</v>
      </c>
      <c r="H2" s="17" t="s">
        <v>17</v>
      </c>
      <c r="I2" s="17" t="s">
        <v>154</v>
      </c>
      <c r="J2" s="17" t="s">
        <v>19</v>
      </c>
      <c r="K2" s="17" t="s">
        <v>20</v>
      </c>
      <c r="L2" s="17" t="s">
        <v>81</v>
      </c>
      <c r="M2" s="17" t="s">
        <v>155</v>
      </c>
      <c r="N2" s="17" t="s">
        <v>23</v>
      </c>
      <c r="O2" s="16" t="s">
        <v>24</v>
      </c>
      <c r="P2" s="16" t="s">
        <v>25</v>
      </c>
      <c r="Q2" s="16"/>
    </row>
    <row r="3" spans="1:17" ht="409.6" customHeight="1" x14ac:dyDescent="0.25">
      <c r="A3" s="19" t="s">
        <v>96</v>
      </c>
      <c r="B3" s="20" t="s">
        <v>14082</v>
      </c>
      <c r="C3" s="16"/>
      <c r="D3" s="16" t="s">
        <v>14083</v>
      </c>
      <c r="E3" s="16" t="s">
        <v>14084</v>
      </c>
      <c r="F3" s="16" t="s">
        <v>14085</v>
      </c>
      <c r="G3" s="16" t="s">
        <v>14086</v>
      </c>
      <c r="H3" s="16" t="s">
        <v>14087</v>
      </c>
      <c r="I3" s="19" t="s">
        <v>84</v>
      </c>
      <c r="J3" s="16" t="s">
        <v>14088</v>
      </c>
      <c r="K3" s="16" t="s">
        <v>14089</v>
      </c>
      <c r="L3" s="16" t="s">
        <v>14090</v>
      </c>
      <c r="M3" s="16" t="s">
        <v>14091</v>
      </c>
      <c r="N3" s="16" t="s">
        <v>14092</v>
      </c>
      <c r="O3" s="16" t="s">
        <v>816</v>
      </c>
      <c r="P3" s="16" t="s">
        <v>1849</v>
      </c>
      <c r="Q3" s="16"/>
    </row>
    <row r="4" spans="1:17" ht="409.6" customHeight="1" x14ac:dyDescent="0.25">
      <c r="A4" s="19" t="s">
        <v>90</v>
      </c>
      <c r="B4" s="20" t="s">
        <v>14093</v>
      </c>
      <c r="C4" s="16"/>
      <c r="D4" s="16" t="s">
        <v>14094</v>
      </c>
      <c r="E4" s="16" t="s">
        <v>14087</v>
      </c>
      <c r="F4" s="16" t="s">
        <v>14095</v>
      </c>
      <c r="G4" s="16" t="s">
        <v>14096</v>
      </c>
      <c r="H4" s="16" t="s">
        <v>14097</v>
      </c>
      <c r="I4" s="19" t="s">
        <v>84</v>
      </c>
      <c r="J4" s="16" t="s">
        <v>14098</v>
      </c>
      <c r="K4" s="16" t="s">
        <v>14099</v>
      </c>
      <c r="L4" s="16" t="s">
        <v>14100</v>
      </c>
      <c r="M4" s="16" t="s">
        <v>14091</v>
      </c>
      <c r="N4" s="16" t="s">
        <v>14101</v>
      </c>
      <c r="O4" s="16" t="s">
        <v>816</v>
      </c>
      <c r="P4" s="16" t="s">
        <v>1849</v>
      </c>
      <c r="Q4" s="16"/>
    </row>
    <row r="5" spans="1:17" ht="409.6" customHeight="1" x14ac:dyDescent="0.25">
      <c r="A5" s="19" t="s">
        <v>113</v>
      </c>
      <c r="B5" s="20" t="s">
        <v>14102</v>
      </c>
      <c r="C5" s="16"/>
      <c r="D5" s="16" t="s">
        <v>14103</v>
      </c>
      <c r="E5" s="16" t="s">
        <v>14104</v>
      </c>
      <c r="F5" s="16" t="s">
        <v>14105</v>
      </c>
      <c r="G5" s="16" t="s">
        <v>14106</v>
      </c>
      <c r="H5" s="16" t="s">
        <v>14107</v>
      </c>
      <c r="I5" s="19" t="s">
        <v>84</v>
      </c>
      <c r="J5" s="16" t="s">
        <v>14108</v>
      </c>
      <c r="K5" s="16" t="s">
        <v>14109</v>
      </c>
      <c r="L5" s="16" t="s">
        <v>14110</v>
      </c>
      <c r="M5" s="16" t="s">
        <v>14091</v>
      </c>
      <c r="N5" s="16" t="s">
        <v>14111</v>
      </c>
      <c r="O5" s="16" t="s">
        <v>816</v>
      </c>
      <c r="P5" s="16" t="s">
        <v>1849</v>
      </c>
      <c r="Q5" s="16"/>
    </row>
    <row r="6" spans="1:17" ht="409.6" customHeight="1" x14ac:dyDescent="0.25">
      <c r="A6" s="19" t="s">
        <v>123</v>
      </c>
      <c r="B6" s="20" t="s">
        <v>14112</v>
      </c>
      <c r="C6" s="16"/>
      <c r="D6" s="16" t="s">
        <v>14113</v>
      </c>
      <c r="E6" s="16" t="s">
        <v>14114</v>
      </c>
      <c r="F6" s="16" t="s">
        <v>14115</v>
      </c>
      <c r="G6" s="16" t="s">
        <v>14116</v>
      </c>
      <c r="H6" s="16" t="s">
        <v>14117</v>
      </c>
      <c r="I6" s="19" t="s">
        <v>84</v>
      </c>
      <c r="J6" s="16" t="s">
        <v>14118</v>
      </c>
      <c r="K6" s="16" t="s">
        <v>14119</v>
      </c>
      <c r="L6" s="16" t="s">
        <v>14120</v>
      </c>
      <c r="M6" s="16" t="s">
        <v>14091</v>
      </c>
      <c r="N6" s="16" t="s">
        <v>14121</v>
      </c>
      <c r="O6" s="16" t="s">
        <v>816</v>
      </c>
      <c r="P6" s="16" t="s">
        <v>1849</v>
      </c>
      <c r="Q6" s="16"/>
    </row>
    <row r="7" spans="1:17" ht="409.6" customHeight="1" x14ac:dyDescent="0.25">
      <c r="A7" s="19" t="s">
        <v>132</v>
      </c>
      <c r="B7" s="20" t="s">
        <v>14122</v>
      </c>
      <c r="C7" s="16"/>
      <c r="D7" s="16" t="s">
        <v>14123</v>
      </c>
      <c r="E7" s="16" t="s">
        <v>14124</v>
      </c>
      <c r="F7" s="16" t="s">
        <v>14125</v>
      </c>
      <c r="G7" s="16" t="s">
        <v>14126</v>
      </c>
      <c r="H7" s="16" t="s">
        <v>14127</v>
      </c>
      <c r="I7" s="19" t="s">
        <v>84</v>
      </c>
      <c r="J7" s="16" t="s">
        <v>14128</v>
      </c>
      <c r="K7" s="16" t="s">
        <v>14129</v>
      </c>
      <c r="L7" s="16" t="s">
        <v>14130</v>
      </c>
      <c r="M7" s="16" t="s">
        <v>14091</v>
      </c>
      <c r="N7" s="16" t="s">
        <v>14131</v>
      </c>
      <c r="O7" s="16" t="s">
        <v>816</v>
      </c>
      <c r="P7" s="16" t="s">
        <v>1849</v>
      </c>
      <c r="Q7" s="16"/>
    </row>
    <row r="8" spans="1:17" ht="409.6" customHeight="1" x14ac:dyDescent="0.25">
      <c r="A8" s="19" t="s">
        <v>10084</v>
      </c>
      <c r="B8" s="20" t="s">
        <v>14132</v>
      </c>
      <c r="C8" s="16"/>
      <c r="D8" s="16" t="s">
        <v>14133</v>
      </c>
      <c r="E8" s="16" t="s">
        <v>14134</v>
      </c>
      <c r="F8" s="16" t="s">
        <v>14135</v>
      </c>
      <c r="G8" s="16" t="s">
        <v>14136</v>
      </c>
      <c r="H8" s="16" t="s">
        <v>14137</v>
      </c>
      <c r="I8" s="19" t="s">
        <v>84</v>
      </c>
      <c r="J8" s="16" t="s">
        <v>14138</v>
      </c>
      <c r="K8" s="16" t="s">
        <v>14139</v>
      </c>
      <c r="L8" s="16" t="s">
        <v>14140</v>
      </c>
      <c r="M8" s="16" t="s">
        <v>14091</v>
      </c>
      <c r="N8" s="16" t="s">
        <v>14141</v>
      </c>
      <c r="O8" s="16" t="s">
        <v>816</v>
      </c>
      <c r="P8" s="16" t="s">
        <v>1849</v>
      </c>
      <c r="Q8" s="16"/>
    </row>
    <row r="9" spans="1:17" ht="409.6" customHeight="1" x14ac:dyDescent="0.25">
      <c r="A9" s="19" t="s">
        <v>10093</v>
      </c>
      <c r="B9" s="20" t="s">
        <v>14142</v>
      </c>
      <c r="C9" s="16"/>
      <c r="D9" s="16" t="s">
        <v>14143</v>
      </c>
      <c r="E9" s="16" t="s">
        <v>14144</v>
      </c>
      <c r="F9" s="16" t="s">
        <v>14145</v>
      </c>
      <c r="G9" s="16" t="s">
        <v>14146</v>
      </c>
      <c r="H9" s="16" t="s">
        <v>14147</v>
      </c>
      <c r="I9" s="19" t="s">
        <v>84</v>
      </c>
      <c r="J9" s="16" t="s">
        <v>14148</v>
      </c>
      <c r="K9" s="16" t="s">
        <v>14149</v>
      </c>
      <c r="L9" s="16" t="s">
        <v>14150</v>
      </c>
      <c r="M9" s="16" t="s">
        <v>14091</v>
      </c>
      <c r="N9" s="16" t="s">
        <v>14151</v>
      </c>
      <c r="O9" s="16" t="s">
        <v>816</v>
      </c>
      <c r="P9" s="16" t="s">
        <v>1849</v>
      </c>
      <c r="Q9" s="16"/>
    </row>
    <row r="10" spans="1:17" ht="409.6" customHeight="1" x14ac:dyDescent="0.25">
      <c r="A10" s="19" t="s">
        <v>10102</v>
      </c>
      <c r="B10" s="20" t="s">
        <v>14152</v>
      </c>
      <c r="C10" s="16"/>
      <c r="D10" s="16" t="s">
        <v>14091</v>
      </c>
      <c r="E10" s="16" t="s">
        <v>14153</v>
      </c>
      <c r="F10" s="16" t="s">
        <v>14154</v>
      </c>
      <c r="G10" s="16" t="s">
        <v>14155</v>
      </c>
      <c r="H10" s="16" t="s">
        <v>14156</v>
      </c>
      <c r="I10" s="19" t="s">
        <v>84</v>
      </c>
      <c r="J10" s="16" t="s">
        <v>14157</v>
      </c>
      <c r="K10" s="16"/>
      <c r="L10" s="16" t="s">
        <v>14158</v>
      </c>
      <c r="M10" s="16" t="s">
        <v>14091</v>
      </c>
      <c r="N10" s="16" t="s">
        <v>14159</v>
      </c>
      <c r="O10" s="16" t="s">
        <v>164</v>
      </c>
      <c r="P10" s="16" t="s">
        <v>1865</v>
      </c>
      <c r="Q10" s="16" t="s">
        <v>14160</v>
      </c>
    </row>
    <row r="11" spans="1:17" ht="409.6" customHeight="1" x14ac:dyDescent="0.25">
      <c r="A11" s="19" t="s">
        <v>10111</v>
      </c>
      <c r="B11" s="20" t="s">
        <v>14161</v>
      </c>
      <c r="C11" s="16"/>
      <c r="D11" s="16" t="s">
        <v>14162</v>
      </c>
      <c r="E11" s="16" t="s">
        <v>14163</v>
      </c>
      <c r="F11" s="16" t="s">
        <v>14164</v>
      </c>
      <c r="G11" s="16" t="s">
        <v>14165</v>
      </c>
      <c r="H11" s="16" t="s">
        <v>14166</v>
      </c>
      <c r="I11" s="19" t="s">
        <v>84</v>
      </c>
      <c r="J11" s="16" t="s">
        <v>14167</v>
      </c>
      <c r="K11" s="16" t="s">
        <v>14168</v>
      </c>
      <c r="L11" s="16" t="s">
        <v>14169</v>
      </c>
      <c r="M11" s="16" t="s">
        <v>14091</v>
      </c>
      <c r="N11" s="16" t="s">
        <v>14170</v>
      </c>
      <c r="O11" s="16" t="s">
        <v>164</v>
      </c>
      <c r="P11" s="16" t="s">
        <v>1865</v>
      </c>
      <c r="Q11" s="16"/>
    </row>
    <row r="12" spans="1:17" ht="409.6" customHeight="1" x14ac:dyDescent="0.25">
      <c r="A12" s="19" t="s">
        <v>10119</v>
      </c>
      <c r="B12" s="20" t="s">
        <v>14171</v>
      </c>
      <c r="C12" s="16"/>
      <c r="D12" s="16" t="s">
        <v>14172</v>
      </c>
      <c r="E12" s="16" t="s">
        <v>14173</v>
      </c>
      <c r="F12" s="16" t="s">
        <v>14174</v>
      </c>
      <c r="G12" s="16" t="s">
        <v>14175</v>
      </c>
      <c r="H12" s="16" t="s">
        <v>14176</v>
      </c>
      <c r="I12" s="19" t="s">
        <v>84</v>
      </c>
      <c r="J12" s="16" t="s">
        <v>14177</v>
      </c>
      <c r="K12" s="16" t="s">
        <v>14178</v>
      </c>
      <c r="L12" s="16" t="s">
        <v>14179</v>
      </c>
      <c r="M12" s="16" t="s">
        <v>14091</v>
      </c>
      <c r="N12" s="16" t="s">
        <v>14180</v>
      </c>
      <c r="O12" s="16" t="s">
        <v>164</v>
      </c>
      <c r="P12" s="16" t="s">
        <v>2109</v>
      </c>
      <c r="Q12" s="16"/>
    </row>
    <row r="13" spans="1:17" ht="409.6" customHeight="1" x14ac:dyDescent="0.25">
      <c r="A13" s="19" t="s">
        <v>10123</v>
      </c>
      <c r="B13" s="20" t="s">
        <v>14181</v>
      </c>
      <c r="C13" s="16"/>
      <c r="D13" s="16" t="s">
        <v>14182</v>
      </c>
      <c r="E13" s="16" t="s">
        <v>14183</v>
      </c>
      <c r="F13" s="16" t="s">
        <v>14184</v>
      </c>
      <c r="G13" s="16" t="s">
        <v>14185</v>
      </c>
      <c r="H13" s="16" t="s">
        <v>14186</v>
      </c>
      <c r="I13" s="19" t="s">
        <v>84</v>
      </c>
      <c r="J13" s="16" t="s">
        <v>14187</v>
      </c>
      <c r="K13" s="16" t="s">
        <v>14096</v>
      </c>
      <c r="L13" s="16" t="s">
        <v>14188</v>
      </c>
      <c r="M13" s="16" t="s">
        <v>14091</v>
      </c>
      <c r="N13" s="16" t="s">
        <v>14189</v>
      </c>
      <c r="O13" s="16" t="s">
        <v>164</v>
      </c>
      <c r="P13" s="16" t="s">
        <v>2109</v>
      </c>
      <c r="Q13" s="16"/>
    </row>
    <row r="14" spans="1:17" ht="409.6" customHeight="1" x14ac:dyDescent="0.25">
      <c r="A14" s="19" t="s">
        <v>10130</v>
      </c>
      <c r="B14" s="20" t="s">
        <v>14190</v>
      </c>
      <c r="C14" s="16"/>
      <c r="D14" s="16" t="s">
        <v>14191</v>
      </c>
      <c r="E14" s="16" t="s">
        <v>14192</v>
      </c>
      <c r="F14" s="16" t="s">
        <v>14193</v>
      </c>
      <c r="G14" s="16" t="s">
        <v>14194</v>
      </c>
      <c r="H14" s="16" t="s">
        <v>14195</v>
      </c>
      <c r="I14" s="19" t="s">
        <v>84</v>
      </c>
      <c r="J14" s="16" t="s">
        <v>14196</v>
      </c>
      <c r="K14" s="16"/>
      <c r="L14" s="16" t="s">
        <v>14197</v>
      </c>
      <c r="M14" s="16" t="s">
        <v>9</v>
      </c>
      <c r="N14" s="16" t="s">
        <v>14198</v>
      </c>
      <c r="O14" s="16" t="s">
        <v>14199</v>
      </c>
      <c r="P14" s="19" t="s">
        <v>506</v>
      </c>
      <c r="Q14" s="16"/>
    </row>
    <row r="15" spans="1:17" ht="409.6" customHeight="1" x14ac:dyDescent="0.25">
      <c r="A15" s="19" t="s">
        <v>10137</v>
      </c>
      <c r="B15" s="20" t="s">
        <v>14200</v>
      </c>
      <c r="C15" s="16"/>
      <c r="D15" s="16" t="s">
        <v>14201</v>
      </c>
      <c r="E15" s="16" t="s">
        <v>14202</v>
      </c>
      <c r="F15" s="16" t="s">
        <v>14096</v>
      </c>
      <c r="G15" s="16" t="s">
        <v>14203</v>
      </c>
      <c r="H15" s="16" t="s">
        <v>14204</v>
      </c>
      <c r="I15" s="19" t="s">
        <v>84</v>
      </c>
      <c r="J15" s="16" t="s">
        <v>14205</v>
      </c>
      <c r="K15" s="16"/>
      <c r="L15" s="16" t="s">
        <v>14206</v>
      </c>
      <c r="M15" s="16" t="s">
        <v>9</v>
      </c>
      <c r="N15" s="16" t="s">
        <v>14207</v>
      </c>
      <c r="O15" s="16" t="s">
        <v>14199</v>
      </c>
      <c r="P15" s="16" t="s">
        <v>14208</v>
      </c>
      <c r="Q15" s="16"/>
    </row>
    <row r="16" spans="1:17" ht="409.6" customHeight="1" x14ac:dyDescent="0.25">
      <c r="A16" s="16">
        <v>14</v>
      </c>
      <c r="B16" s="20" t="s">
        <v>14209</v>
      </c>
      <c r="C16" s="16"/>
      <c r="D16" s="19" t="s">
        <v>14210</v>
      </c>
      <c r="E16" s="19" t="s">
        <v>14211</v>
      </c>
      <c r="F16" s="19" t="s">
        <v>12764</v>
      </c>
      <c r="G16" s="19" t="s">
        <v>14212</v>
      </c>
      <c r="H16" s="19" t="s">
        <v>12762</v>
      </c>
      <c r="I16" s="19" t="s">
        <v>84</v>
      </c>
      <c r="J16" s="16" t="s">
        <v>14213</v>
      </c>
      <c r="K16" s="16" t="s">
        <v>14214</v>
      </c>
      <c r="L16" s="16" t="s">
        <v>14215</v>
      </c>
      <c r="M16" s="16" t="s">
        <v>9</v>
      </c>
      <c r="N16" s="16" t="s">
        <v>14216</v>
      </c>
      <c r="O16" s="16" t="s">
        <v>164</v>
      </c>
      <c r="P16" s="16" t="s">
        <v>2271</v>
      </c>
      <c r="Q16" s="16"/>
    </row>
    <row r="17" spans="1:17" ht="409.6" customHeight="1" x14ac:dyDescent="0.25">
      <c r="A17" s="19" t="s">
        <v>10146</v>
      </c>
      <c r="B17" s="20" t="s">
        <v>14217</v>
      </c>
      <c r="C17" s="16"/>
      <c r="D17" s="16" t="s">
        <v>14218</v>
      </c>
      <c r="E17" s="16" t="s">
        <v>14219</v>
      </c>
      <c r="F17" s="16" t="s">
        <v>14220</v>
      </c>
      <c r="G17" s="16" t="s">
        <v>14221</v>
      </c>
      <c r="H17" s="16" t="s">
        <v>14222</v>
      </c>
      <c r="I17" s="19" t="s">
        <v>90</v>
      </c>
      <c r="J17" s="16" t="s">
        <v>14223</v>
      </c>
      <c r="K17" s="16"/>
      <c r="L17" s="16" t="s">
        <v>14224</v>
      </c>
      <c r="M17" s="16" t="s">
        <v>9</v>
      </c>
      <c r="N17" s="16" t="s">
        <v>14225</v>
      </c>
      <c r="O17" s="16" t="s">
        <v>14199</v>
      </c>
      <c r="P17" s="19" t="s">
        <v>14226</v>
      </c>
      <c r="Q17" s="16"/>
    </row>
    <row r="18" spans="1:17" ht="409.6" customHeight="1" x14ac:dyDescent="0.25">
      <c r="A18" s="16">
        <v>16</v>
      </c>
      <c r="B18" s="20" t="s">
        <v>14227</v>
      </c>
      <c r="C18" s="16"/>
      <c r="D18" s="22">
        <v>1</v>
      </c>
      <c r="E18" s="22">
        <v>0.68</v>
      </c>
      <c r="F18" s="22">
        <v>1.46</v>
      </c>
      <c r="G18" s="22">
        <v>0.84</v>
      </c>
      <c r="H18" s="22">
        <v>0.72</v>
      </c>
      <c r="I18" s="16">
        <v>1</v>
      </c>
      <c r="J18" s="16" t="s">
        <v>14228</v>
      </c>
      <c r="K18" s="16"/>
      <c r="L18" s="16" t="s">
        <v>14158</v>
      </c>
      <c r="M18" s="16" t="s">
        <v>9</v>
      </c>
      <c r="N18" s="16" t="s">
        <v>2214</v>
      </c>
      <c r="O18" s="16" t="s">
        <v>164</v>
      </c>
      <c r="P18" s="16" t="s">
        <v>2317</v>
      </c>
      <c r="Q18" s="16"/>
    </row>
    <row r="19" spans="1:17" ht="409.6" customHeight="1" x14ac:dyDescent="0.25">
      <c r="A19" s="19" t="s">
        <v>10162</v>
      </c>
      <c r="B19" s="20" t="s">
        <v>14229</v>
      </c>
      <c r="C19" s="16"/>
      <c r="D19" s="16" t="s">
        <v>14230</v>
      </c>
      <c r="E19" s="16" t="s">
        <v>14231</v>
      </c>
      <c r="F19" s="16" t="s">
        <v>14232</v>
      </c>
      <c r="G19" s="16" t="s">
        <v>14096</v>
      </c>
      <c r="H19" s="16" t="s">
        <v>14203</v>
      </c>
      <c r="I19" s="19" t="s">
        <v>84</v>
      </c>
      <c r="J19" s="16" t="s">
        <v>14233</v>
      </c>
      <c r="K19" s="16"/>
      <c r="L19" s="16" t="s">
        <v>14234</v>
      </c>
      <c r="M19" s="16" t="s">
        <v>9</v>
      </c>
      <c r="N19" s="16" t="s">
        <v>14235</v>
      </c>
      <c r="O19" s="16" t="s">
        <v>14199</v>
      </c>
      <c r="P19" s="16" t="s">
        <v>14236</v>
      </c>
      <c r="Q19" s="16"/>
    </row>
    <row r="20" spans="1:17" ht="409.6" customHeight="1" x14ac:dyDescent="0.25">
      <c r="A20" s="19" t="s">
        <v>10169</v>
      </c>
      <c r="B20" s="20" t="s">
        <v>14237</v>
      </c>
      <c r="C20" s="16"/>
      <c r="D20" s="16" t="s">
        <v>14238</v>
      </c>
      <c r="E20" s="16" t="s">
        <v>14239</v>
      </c>
      <c r="F20" s="16" t="s">
        <v>14240</v>
      </c>
      <c r="G20" s="16" t="s">
        <v>14241</v>
      </c>
      <c r="H20" s="16" t="s">
        <v>14242</v>
      </c>
      <c r="I20" s="19" t="s">
        <v>113</v>
      </c>
      <c r="J20" s="16" t="s">
        <v>14243</v>
      </c>
      <c r="K20" s="16"/>
      <c r="L20" s="16" t="s">
        <v>14244</v>
      </c>
      <c r="M20" s="16" t="s">
        <v>9</v>
      </c>
      <c r="N20" s="16" t="s">
        <v>14245</v>
      </c>
      <c r="O20" s="16" t="s">
        <v>14199</v>
      </c>
      <c r="P20" s="19" t="s">
        <v>506</v>
      </c>
      <c r="Q20" s="16"/>
    </row>
    <row r="21" spans="1:17" ht="409.6" customHeight="1" x14ac:dyDescent="0.25">
      <c r="A21" s="16">
        <v>19</v>
      </c>
      <c r="B21" s="20" t="s">
        <v>14246</v>
      </c>
      <c r="C21" s="16"/>
      <c r="D21" s="16" t="s">
        <v>14247</v>
      </c>
      <c r="E21" s="16" t="s">
        <v>14248</v>
      </c>
      <c r="F21" s="16" t="s">
        <v>14249</v>
      </c>
      <c r="G21" s="16" t="s">
        <v>14250</v>
      </c>
      <c r="H21" s="16" t="s">
        <v>781</v>
      </c>
      <c r="I21" s="16">
        <v>1</v>
      </c>
      <c r="J21" s="16" t="s">
        <v>14251</v>
      </c>
      <c r="K21" s="16"/>
      <c r="L21" s="16" t="s">
        <v>14158</v>
      </c>
      <c r="M21" s="16" t="s">
        <v>9</v>
      </c>
      <c r="N21" s="16" t="s">
        <v>14252</v>
      </c>
      <c r="O21" s="16" t="s">
        <v>816</v>
      </c>
      <c r="P21" s="16" t="s">
        <v>2629</v>
      </c>
      <c r="Q21" s="16"/>
    </row>
    <row r="22" spans="1:17" ht="409.6" customHeight="1" x14ac:dyDescent="0.25">
      <c r="A22" s="19" t="s">
        <v>10183</v>
      </c>
      <c r="B22" s="20" t="s">
        <v>14253</v>
      </c>
      <c r="C22" s="16"/>
      <c r="D22" s="16" t="s">
        <v>14254</v>
      </c>
      <c r="E22" s="16" t="s">
        <v>14255</v>
      </c>
      <c r="F22" s="16" t="s">
        <v>14256</v>
      </c>
      <c r="G22" s="16" t="s">
        <v>14257</v>
      </c>
      <c r="H22" s="16" t="s">
        <v>14258</v>
      </c>
      <c r="I22" s="19" t="s">
        <v>96</v>
      </c>
      <c r="J22" s="16" t="s">
        <v>14259</v>
      </c>
      <c r="K22" s="16"/>
      <c r="L22" s="16" t="s">
        <v>14260</v>
      </c>
      <c r="M22" s="16" t="s">
        <v>9</v>
      </c>
      <c r="N22" s="16" t="s">
        <v>14261</v>
      </c>
      <c r="O22" s="16" t="s">
        <v>14199</v>
      </c>
      <c r="P22" s="19" t="s">
        <v>14262</v>
      </c>
      <c r="Q22" s="16"/>
    </row>
    <row r="23" spans="1:17" ht="409.6" customHeight="1" x14ac:dyDescent="0.25">
      <c r="A23" s="19" t="s">
        <v>10189</v>
      </c>
      <c r="B23" s="20" t="s">
        <v>14263</v>
      </c>
      <c r="C23" s="16"/>
      <c r="D23" s="19" t="s">
        <v>14211</v>
      </c>
      <c r="E23" s="19" t="s">
        <v>14264</v>
      </c>
      <c r="F23" s="19" t="s">
        <v>14210</v>
      </c>
      <c r="G23" s="19" t="s">
        <v>14265</v>
      </c>
      <c r="H23" s="19" t="s">
        <v>12762</v>
      </c>
      <c r="I23" s="19" t="s">
        <v>90</v>
      </c>
      <c r="J23" s="16" t="s">
        <v>14266</v>
      </c>
      <c r="K23" s="16"/>
      <c r="L23" s="16" t="s">
        <v>14267</v>
      </c>
      <c r="M23" s="16" t="s">
        <v>9</v>
      </c>
      <c r="N23" s="16" t="s">
        <v>14268</v>
      </c>
      <c r="O23" s="16" t="s">
        <v>14199</v>
      </c>
      <c r="P23" s="19" t="s">
        <v>506</v>
      </c>
      <c r="Q23" s="16"/>
    </row>
    <row r="24" spans="1:17" ht="409.6" customHeight="1" x14ac:dyDescent="0.25">
      <c r="A24" s="19" t="s">
        <v>10197</v>
      </c>
      <c r="B24" s="20" t="s">
        <v>14269</v>
      </c>
      <c r="C24" s="16"/>
      <c r="D24" s="16" t="s">
        <v>14204</v>
      </c>
      <c r="E24" s="16" t="s">
        <v>14270</v>
      </c>
      <c r="F24" s="16" t="s">
        <v>14271</v>
      </c>
      <c r="G24" s="16" t="s">
        <v>14095</v>
      </c>
      <c r="H24" s="16" t="s">
        <v>14096</v>
      </c>
      <c r="I24" s="19" t="s">
        <v>96</v>
      </c>
      <c r="J24" s="16" t="s">
        <v>14272</v>
      </c>
      <c r="K24" s="16"/>
      <c r="L24" s="16" t="s">
        <v>14273</v>
      </c>
      <c r="M24" s="16" t="s">
        <v>9</v>
      </c>
      <c r="N24" s="16" t="s">
        <v>14274</v>
      </c>
      <c r="O24" s="16" t="s">
        <v>94</v>
      </c>
      <c r="P24" s="16" t="s">
        <v>14236</v>
      </c>
      <c r="Q24" s="16"/>
    </row>
    <row r="25" spans="1:17" ht="409.6" customHeight="1" x14ac:dyDescent="0.25">
      <c r="A25" s="19" t="s">
        <v>10207</v>
      </c>
      <c r="B25" s="20" t="s">
        <v>14275</v>
      </c>
      <c r="C25" s="16"/>
      <c r="D25" s="16" t="s">
        <v>14276</v>
      </c>
      <c r="E25" s="16" t="s">
        <v>14277</v>
      </c>
      <c r="F25" s="16" t="s">
        <v>14278</v>
      </c>
      <c r="G25" s="16" t="s">
        <v>14279</v>
      </c>
      <c r="H25" s="16" t="s">
        <v>14280</v>
      </c>
      <c r="I25" s="19" t="s">
        <v>96</v>
      </c>
      <c r="J25" s="16" t="s">
        <v>14281</v>
      </c>
      <c r="K25" s="16"/>
      <c r="L25" s="16" t="s">
        <v>14282</v>
      </c>
      <c r="M25" s="16" t="s">
        <v>9</v>
      </c>
      <c r="N25" s="16" t="s">
        <v>14283</v>
      </c>
      <c r="O25" s="16" t="s">
        <v>14199</v>
      </c>
      <c r="P25" s="19" t="s">
        <v>607</v>
      </c>
      <c r="Q25" s="16"/>
    </row>
    <row r="26" spans="1:17" ht="409.6" customHeight="1" x14ac:dyDescent="0.25">
      <c r="A26" s="16">
        <v>24</v>
      </c>
      <c r="B26" s="20" t="s">
        <v>14284</v>
      </c>
      <c r="C26" s="16"/>
      <c r="D26" s="16" t="s">
        <v>14285</v>
      </c>
      <c r="E26" s="16" t="s">
        <v>14096</v>
      </c>
      <c r="F26" s="16" t="s">
        <v>14286</v>
      </c>
      <c r="G26" s="16" t="s">
        <v>14287</v>
      </c>
      <c r="H26" s="16" t="s">
        <v>14288</v>
      </c>
      <c r="I26" s="16">
        <v>1</v>
      </c>
      <c r="J26" s="16" t="s">
        <v>14289</v>
      </c>
      <c r="K26" s="16"/>
      <c r="L26" s="16" t="s">
        <v>14158</v>
      </c>
      <c r="M26" s="16" t="s">
        <v>9</v>
      </c>
      <c r="N26" s="16" t="s">
        <v>14290</v>
      </c>
      <c r="O26" s="16" t="s">
        <v>164</v>
      </c>
      <c r="P26" s="16" t="s">
        <v>2709</v>
      </c>
      <c r="Q26" s="16"/>
    </row>
    <row r="27" spans="1:17" ht="409.6" customHeight="1" x14ac:dyDescent="0.25">
      <c r="A27" s="16">
        <v>25</v>
      </c>
      <c r="B27" s="20" t="s">
        <v>14291</v>
      </c>
      <c r="C27" s="16"/>
      <c r="D27" s="16" t="s">
        <v>14287</v>
      </c>
      <c r="E27" s="16" t="s">
        <v>14288</v>
      </c>
      <c r="F27" s="16" t="s">
        <v>14292</v>
      </c>
      <c r="G27" s="16" t="s">
        <v>14293</v>
      </c>
      <c r="H27" s="16" t="s">
        <v>14294</v>
      </c>
      <c r="I27" s="16">
        <v>1</v>
      </c>
      <c r="J27" s="16" t="s">
        <v>14295</v>
      </c>
      <c r="K27" s="16"/>
      <c r="L27" s="16" t="s">
        <v>14158</v>
      </c>
      <c r="M27" s="16" t="s">
        <v>9</v>
      </c>
      <c r="N27" s="16" t="s">
        <v>3689</v>
      </c>
      <c r="O27" s="16" t="s">
        <v>164</v>
      </c>
      <c r="P27" s="16" t="s">
        <v>2709</v>
      </c>
      <c r="Q27" s="16"/>
    </row>
    <row r="28" spans="1:17" ht="409.6" customHeight="1" x14ac:dyDescent="0.25">
      <c r="A28" s="16">
        <v>26</v>
      </c>
      <c r="B28" s="20" t="s">
        <v>14296</v>
      </c>
      <c r="C28" s="16"/>
      <c r="D28" s="16" t="s">
        <v>14293</v>
      </c>
      <c r="E28" s="16" t="s">
        <v>14294</v>
      </c>
      <c r="F28" s="16" t="s">
        <v>14139</v>
      </c>
      <c r="G28" s="16" t="s">
        <v>14297</v>
      </c>
      <c r="H28" s="16" t="s">
        <v>14285</v>
      </c>
      <c r="I28" s="16">
        <v>1</v>
      </c>
      <c r="J28" s="16" t="s">
        <v>14298</v>
      </c>
      <c r="K28" s="16"/>
      <c r="L28" s="16" t="s">
        <v>14158</v>
      </c>
      <c r="M28" s="16" t="s">
        <v>9</v>
      </c>
      <c r="N28" s="16" t="s">
        <v>6181</v>
      </c>
      <c r="O28" s="16" t="s">
        <v>164</v>
      </c>
      <c r="P28" s="16" t="s">
        <v>2709</v>
      </c>
      <c r="Q28" s="16"/>
    </row>
    <row r="29" spans="1:17" ht="409.6" customHeight="1" x14ac:dyDescent="0.25">
      <c r="A29" s="16">
        <v>27</v>
      </c>
      <c r="B29" s="20" t="s">
        <v>14299</v>
      </c>
      <c r="C29" s="16"/>
      <c r="D29" s="16" t="s">
        <v>14297</v>
      </c>
      <c r="E29" s="16" t="s">
        <v>14285</v>
      </c>
      <c r="F29" s="16" t="s">
        <v>14096</v>
      </c>
      <c r="G29" s="16" t="s">
        <v>14286</v>
      </c>
      <c r="H29" s="16" t="s">
        <v>14287</v>
      </c>
      <c r="I29" s="16">
        <v>1</v>
      </c>
      <c r="J29" s="16" t="s">
        <v>14300</v>
      </c>
      <c r="K29" s="16"/>
      <c r="L29" s="16" t="s">
        <v>14158</v>
      </c>
      <c r="M29" s="16" t="s">
        <v>9</v>
      </c>
      <c r="N29" s="16" t="s">
        <v>3699</v>
      </c>
      <c r="O29" s="16" t="s">
        <v>164</v>
      </c>
      <c r="P29" s="16" t="s">
        <v>2709</v>
      </c>
      <c r="Q29" s="16"/>
    </row>
    <row r="30" spans="1:17" ht="409.6" customHeight="1" x14ac:dyDescent="0.25">
      <c r="A30" s="16">
        <v>28</v>
      </c>
      <c r="B30" s="20" t="s">
        <v>14301</v>
      </c>
      <c r="C30" s="16"/>
      <c r="D30" s="16" t="s">
        <v>14286</v>
      </c>
      <c r="E30" s="16" t="s">
        <v>14287</v>
      </c>
      <c r="F30" s="16" t="s">
        <v>14288</v>
      </c>
      <c r="G30" s="16" t="s">
        <v>14292</v>
      </c>
      <c r="H30" s="16" t="s">
        <v>14293</v>
      </c>
      <c r="I30" s="16">
        <v>1</v>
      </c>
      <c r="J30" s="16" t="s">
        <v>14302</v>
      </c>
      <c r="K30" s="16"/>
      <c r="L30" s="16" t="s">
        <v>14158</v>
      </c>
      <c r="M30" s="16" t="s">
        <v>9</v>
      </c>
      <c r="N30" s="16" t="s">
        <v>3689</v>
      </c>
      <c r="O30" s="16" t="s">
        <v>164</v>
      </c>
      <c r="P30" s="16" t="s">
        <v>2709</v>
      </c>
      <c r="Q30" s="16"/>
    </row>
    <row r="31" spans="1:17" ht="409.6" customHeight="1" x14ac:dyDescent="0.25">
      <c r="A31" s="16">
        <v>29</v>
      </c>
      <c r="B31" s="20" t="s">
        <v>14303</v>
      </c>
      <c r="C31" s="16"/>
      <c r="D31" s="16" t="s">
        <v>14292</v>
      </c>
      <c r="E31" s="16" t="s">
        <v>14293</v>
      </c>
      <c r="F31" s="16" t="s">
        <v>14294</v>
      </c>
      <c r="G31" s="16" t="s">
        <v>14139</v>
      </c>
      <c r="H31" s="16" t="s">
        <v>14297</v>
      </c>
      <c r="I31" s="16">
        <v>1</v>
      </c>
      <c r="J31" s="16" t="s">
        <v>14304</v>
      </c>
      <c r="K31" s="16"/>
      <c r="L31" s="16" t="s">
        <v>14158</v>
      </c>
      <c r="M31" s="16" t="s">
        <v>9</v>
      </c>
      <c r="N31" s="16" t="s">
        <v>6181</v>
      </c>
      <c r="O31" s="16" t="s">
        <v>164</v>
      </c>
      <c r="P31" s="16" t="s">
        <v>2709</v>
      </c>
      <c r="Q31" s="16"/>
    </row>
    <row r="32" spans="1:17" ht="409.6" customHeight="1" x14ac:dyDescent="0.25">
      <c r="A32" s="16">
        <v>30</v>
      </c>
      <c r="B32" s="20" t="s">
        <v>14305</v>
      </c>
      <c r="C32" s="16"/>
      <c r="D32" s="16" t="s">
        <v>11256</v>
      </c>
      <c r="E32" s="16" t="s">
        <v>11257</v>
      </c>
      <c r="F32" s="16" t="s">
        <v>11258</v>
      </c>
      <c r="G32" s="16" t="s">
        <v>11259</v>
      </c>
      <c r="H32" s="16" t="s">
        <v>11260</v>
      </c>
      <c r="I32" s="16">
        <v>1</v>
      </c>
      <c r="J32" s="16" t="s">
        <v>14306</v>
      </c>
      <c r="K32" s="16"/>
      <c r="L32" s="16" t="s">
        <v>14158</v>
      </c>
      <c r="M32" s="16" t="s">
        <v>9</v>
      </c>
      <c r="N32" s="16" t="s">
        <v>10503</v>
      </c>
      <c r="O32" s="16" t="s">
        <v>816</v>
      </c>
      <c r="P32" s="16" t="s">
        <v>2710</v>
      </c>
      <c r="Q32" s="16"/>
    </row>
    <row r="33" spans="1:17" ht="409.6" customHeight="1" x14ac:dyDescent="0.25">
      <c r="A33" s="16">
        <v>31</v>
      </c>
      <c r="B33" s="20" t="s">
        <v>14307</v>
      </c>
      <c r="C33" s="16"/>
      <c r="D33" s="16" t="s">
        <v>14096</v>
      </c>
      <c r="E33" s="16" t="s">
        <v>14286</v>
      </c>
      <c r="F33" s="16" t="s">
        <v>14287</v>
      </c>
      <c r="G33" s="16" t="s">
        <v>14288</v>
      </c>
      <c r="H33" s="16" t="s">
        <v>14292</v>
      </c>
      <c r="I33" s="16">
        <v>1</v>
      </c>
      <c r="J33" s="16" t="s">
        <v>14308</v>
      </c>
      <c r="K33" s="16"/>
      <c r="L33" s="16" t="s">
        <v>14158</v>
      </c>
      <c r="M33" s="16" t="s">
        <v>9</v>
      </c>
      <c r="N33" s="16" t="s">
        <v>2537</v>
      </c>
      <c r="O33" s="16" t="s">
        <v>816</v>
      </c>
      <c r="P33" s="16" t="s">
        <v>2710</v>
      </c>
      <c r="Q33" s="16"/>
    </row>
    <row r="34" spans="1:17" ht="409.6" customHeight="1" x14ac:dyDescent="0.25">
      <c r="A34" s="16">
        <v>32</v>
      </c>
      <c r="B34" s="20" t="s">
        <v>14309</v>
      </c>
      <c r="C34" s="16"/>
      <c r="D34" s="16" t="s">
        <v>14288</v>
      </c>
      <c r="E34" s="16" t="s">
        <v>14292</v>
      </c>
      <c r="F34" s="16" t="s">
        <v>14293</v>
      </c>
      <c r="G34" s="16" t="s">
        <v>14294</v>
      </c>
      <c r="H34" s="16" t="s">
        <v>14139</v>
      </c>
      <c r="I34" s="16">
        <v>4</v>
      </c>
      <c r="J34" s="16" t="s">
        <v>14310</v>
      </c>
      <c r="K34" s="16"/>
      <c r="L34" s="16" t="s">
        <v>14158</v>
      </c>
      <c r="M34" s="16" t="s">
        <v>9</v>
      </c>
      <c r="N34" s="16" t="s">
        <v>3733</v>
      </c>
      <c r="O34" s="16" t="s">
        <v>816</v>
      </c>
      <c r="P34" s="16" t="s">
        <v>2710</v>
      </c>
      <c r="Q34" s="16"/>
    </row>
    <row r="35" spans="1:17" ht="409.6" customHeight="1" x14ac:dyDescent="0.25">
      <c r="A35" s="16">
        <v>33</v>
      </c>
      <c r="B35" s="20" t="s">
        <v>14311</v>
      </c>
      <c r="C35" s="16"/>
      <c r="D35" s="16" t="s">
        <v>14312</v>
      </c>
      <c r="E35" s="16" t="s">
        <v>14313</v>
      </c>
      <c r="F35" s="16" t="s">
        <v>14314</v>
      </c>
      <c r="G35" s="16" t="s">
        <v>14315</v>
      </c>
      <c r="H35" s="16" t="s">
        <v>14096</v>
      </c>
      <c r="I35" s="16">
        <v>1</v>
      </c>
      <c r="J35" s="16" t="s">
        <v>14316</v>
      </c>
      <c r="K35" s="16"/>
      <c r="L35" s="16" t="s">
        <v>14158</v>
      </c>
      <c r="M35" s="16" t="s">
        <v>9</v>
      </c>
      <c r="N35" s="16" t="s">
        <v>3733</v>
      </c>
      <c r="O35" s="16" t="s">
        <v>816</v>
      </c>
      <c r="P35" s="16" t="s">
        <v>2710</v>
      </c>
      <c r="Q35" s="16"/>
    </row>
    <row r="36" spans="1:17" ht="409.6" customHeight="1" x14ac:dyDescent="0.25">
      <c r="A36" s="16">
        <v>34</v>
      </c>
      <c r="B36" s="20" t="s">
        <v>14317</v>
      </c>
      <c r="C36" s="16"/>
      <c r="D36" s="16" t="s">
        <v>14318</v>
      </c>
      <c r="E36" s="16" t="s">
        <v>14319</v>
      </c>
      <c r="F36" s="16" t="s">
        <v>14320</v>
      </c>
      <c r="G36" s="16" t="s">
        <v>14321</v>
      </c>
      <c r="H36" s="16" t="s">
        <v>14322</v>
      </c>
      <c r="I36" s="16">
        <v>1</v>
      </c>
      <c r="J36" s="16" t="s">
        <v>14323</v>
      </c>
      <c r="K36" s="16"/>
      <c r="L36" s="16" t="s">
        <v>14158</v>
      </c>
      <c r="M36" s="16" t="s">
        <v>9</v>
      </c>
      <c r="N36" s="16" t="s">
        <v>3733</v>
      </c>
      <c r="O36" s="16" t="s">
        <v>816</v>
      </c>
      <c r="P36" s="16" t="s">
        <v>2710</v>
      </c>
      <c r="Q36" s="16"/>
    </row>
    <row r="37" spans="1:17" ht="409.6" customHeight="1" x14ac:dyDescent="0.25">
      <c r="A37" s="16">
        <v>35</v>
      </c>
      <c r="B37" s="20" t="s">
        <v>14324</v>
      </c>
      <c r="C37" s="16"/>
      <c r="D37" s="16">
        <v>6.5</v>
      </c>
      <c r="E37" s="16">
        <v>7</v>
      </c>
      <c r="F37" s="16">
        <v>7.5</v>
      </c>
      <c r="G37" s="16">
        <v>8</v>
      </c>
      <c r="H37" s="16">
        <v>8.5</v>
      </c>
      <c r="I37" s="16">
        <v>1</v>
      </c>
      <c r="J37" s="16" t="s">
        <v>14325</v>
      </c>
      <c r="K37" s="16"/>
      <c r="L37" s="16" t="s">
        <v>14158</v>
      </c>
      <c r="M37" s="16" t="s">
        <v>9</v>
      </c>
      <c r="N37" s="16" t="s">
        <v>2540</v>
      </c>
      <c r="O37" s="16" t="s">
        <v>816</v>
      </c>
      <c r="P37" s="16" t="s">
        <v>2710</v>
      </c>
      <c r="Q37" s="16"/>
    </row>
    <row r="38" spans="1:17" ht="409.6" customHeight="1" x14ac:dyDescent="0.25">
      <c r="A38" s="16">
        <v>36</v>
      </c>
      <c r="B38" s="20" t="s">
        <v>14326</v>
      </c>
      <c r="C38" s="16"/>
      <c r="D38" s="16" t="s">
        <v>14327</v>
      </c>
      <c r="E38" s="16" t="s">
        <v>14328</v>
      </c>
      <c r="F38" s="16" t="s">
        <v>14329</v>
      </c>
      <c r="G38" s="16" t="s">
        <v>14330</v>
      </c>
      <c r="H38" s="16" t="s">
        <v>14331</v>
      </c>
      <c r="I38" s="16">
        <v>1</v>
      </c>
      <c r="J38" s="16" t="s">
        <v>14332</v>
      </c>
      <c r="K38" s="16"/>
      <c r="L38" s="16" t="s">
        <v>14158</v>
      </c>
      <c r="M38" s="16" t="s">
        <v>9</v>
      </c>
      <c r="N38" s="16" t="s">
        <v>5202</v>
      </c>
      <c r="O38" s="16" t="s">
        <v>816</v>
      </c>
      <c r="P38" s="16" t="s">
        <v>2710</v>
      </c>
      <c r="Q38" s="16"/>
    </row>
    <row r="39" spans="1:17" ht="409.6" customHeight="1" x14ac:dyDescent="0.25">
      <c r="A39" s="16">
        <v>37</v>
      </c>
      <c r="B39" s="20" t="s">
        <v>14333</v>
      </c>
      <c r="C39" s="16"/>
      <c r="D39" s="16" t="s">
        <v>14334</v>
      </c>
      <c r="E39" s="16" t="s">
        <v>14335</v>
      </c>
      <c r="F39" s="16" t="s">
        <v>14336</v>
      </c>
      <c r="G39" s="16" t="s">
        <v>14337</v>
      </c>
      <c r="H39" s="16" t="s">
        <v>14338</v>
      </c>
      <c r="I39" s="16">
        <v>1</v>
      </c>
      <c r="J39" s="16" t="s">
        <v>14339</v>
      </c>
      <c r="K39" s="16"/>
      <c r="L39" s="16" t="s">
        <v>14158</v>
      </c>
      <c r="M39" s="16" t="s">
        <v>9</v>
      </c>
      <c r="N39" s="16" t="s">
        <v>10487</v>
      </c>
      <c r="O39" s="16" t="s">
        <v>816</v>
      </c>
      <c r="P39" s="16" t="s">
        <v>2710</v>
      </c>
      <c r="Q39" s="16"/>
    </row>
    <row r="40" spans="1:17" ht="409.6" customHeight="1" x14ac:dyDescent="0.25">
      <c r="A40" s="16">
        <v>38</v>
      </c>
      <c r="B40" s="20" t="s">
        <v>14340</v>
      </c>
      <c r="C40" s="16"/>
      <c r="D40" s="16" t="s">
        <v>14341</v>
      </c>
      <c r="E40" s="16" t="s">
        <v>14342</v>
      </c>
      <c r="F40" s="16" t="s">
        <v>14343</v>
      </c>
      <c r="G40" s="16" t="s">
        <v>14344</v>
      </c>
      <c r="H40" s="16" t="s">
        <v>799</v>
      </c>
      <c r="I40" s="16">
        <v>1</v>
      </c>
      <c r="J40" s="16" t="s">
        <v>14345</v>
      </c>
      <c r="K40" s="16"/>
      <c r="L40" s="16" t="s">
        <v>14158</v>
      </c>
      <c r="M40" s="16" t="s">
        <v>9</v>
      </c>
      <c r="N40" s="16" t="s">
        <v>9135</v>
      </c>
      <c r="O40" s="16" t="s">
        <v>816</v>
      </c>
      <c r="P40" s="16" t="s">
        <v>2710</v>
      </c>
      <c r="Q40" s="16"/>
    </row>
    <row r="41" spans="1:17" ht="409.6" customHeight="1" x14ac:dyDescent="0.25">
      <c r="A41" s="16">
        <v>39</v>
      </c>
      <c r="B41" s="20" t="s">
        <v>14346</v>
      </c>
      <c r="C41" s="16"/>
      <c r="D41" s="16" t="s">
        <v>14292</v>
      </c>
      <c r="E41" s="16" t="s">
        <v>14293</v>
      </c>
      <c r="F41" s="16" t="s">
        <v>14294</v>
      </c>
      <c r="G41" s="16" t="s">
        <v>14139</v>
      </c>
      <c r="H41" s="16" t="s">
        <v>14297</v>
      </c>
      <c r="I41" s="16">
        <v>1</v>
      </c>
      <c r="J41" s="16" t="s">
        <v>14347</v>
      </c>
      <c r="K41" s="16"/>
      <c r="L41" s="16" t="s">
        <v>14348</v>
      </c>
      <c r="M41" s="16" t="s">
        <v>9</v>
      </c>
      <c r="N41" s="16" t="s">
        <v>1669</v>
      </c>
      <c r="O41" s="16" t="s">
        <v>816</v>
      </c>
      <c r="P41" s="16" t="s">
        <v>2711</v>
      </c>
      <c r="Q41" s="16"/>
    </row>
    <row r="42" spans="1:17" ht="409.6" customHeight="1" x14ac:dyDescent="0.25">
      <c r="A42" s="16">
        <v>40</v>
      </c>
      <c r="B42" s="20" t="s">
        <v>14349</v>
      </c>
      <c r="C42" s="16"/>
      <c r="D42" s="16" t="s">
        <v>14350</v>
      </c>
      <c r="E42" s="16" t="s">
        <v>14351</v>
      </c>
      <c r="F42" s="16" t="s">
        <v>14352</v>
      </c>
      <c r="G42" s="16" t="s">
        <v>14353</v>
      </c>
      <c r="H42" s="16" t="s">
        <v>14354</v>
      </c>
      <c r="I42" s="16">
        <v>2</v>
      </c>
      <c r="J42" s="16" t="s">
        <v>14355</v>
      </c>
      <c r="K42" s="16"/>
      <c r="L42" s="16" t="s">
        <v>14158</v>
      </c>
      <c r="M42" s="16" t="s">
        <v>9</v>
      </c>
      <c r="N42" s="16" t="s">
        <v>4030</v>
      </c>
      <c r="O42" s="16" t="s">
        <v>816</v>
      </c>
      <c r="P42" s="16" t="s">
        <v>2711</v>
      </c>
      <c r="Q42" s="16"/>
    </row>
    <row r="43" spans="1:17" ht="409.6" customHeight="1" x14ac:dyDescent="0.25">
      <c r="A43" s="16">
        <v>41</v>
      </c>
      <c r="B43" s="20" t="s">
        <v>14356</v>
      </c>
      <c r="C43" s="16"/>
      <c r="D43" s="16" t="s">
        <v>14357</v>
      </c>
      <c r="E43" s="16" t="s">
        <v>14358</v>
      </c>
      <c r="F43" s="16" t="s">
        <v>14359</v>
      </c>
      <c r="G43" s="16" t="s">
        <v>14354</v>
      </c>
      <c r="H43" s="16" t="s">
        <v>14292</v>
      </c>
      <c r="I43" s="16">
        <v>1</v>
      </c>
      <c r="J43" s="16" t="s">
        <v>14360</v>
      </c>
      <c r="K43" s="16"/>
      <c r="L43" s="16" t="s">
        <v>14158</v>
      </c>
      <c r="M43" s="16" t="s">
        <v>9</v>
      </c>
      <c r="N43" s="16" t="s">
        <v>3900</v>
      </c>
      <c r="O43" s="16" t="s">
        <v>816</v>
      </c>
      <c r="P43" s="16" t="s">
        <v>2711</v>
      </c>
      <c r="Q43" s="16"/>
    </row>
    <row r="44" spans="1:17" ht="409.6" customHeight="1" x14ac:dyDescent="0.25">
      <c r="A44" s="16">
        <v>42</v>
      </c>
      <c r="B44" s="20" t="s">
        <v>14361</v>
      </c>
      <c r="C44" s="16"/>
      <c r="D44" s="16" t="s">
        <v>14288</v>
      </c>
      <c r="E44" s="16" t="s">
        <v>14292</v>
      </c>
      <c r="F44" s="16" t="s">
        <v>14293</v>
      </c>
      <c r="G44" s="16" t="s">
        <v>14294</v>
      </c>
      <c r="H44" s="16" t="s">
        <v>14139</v>
      </c>
      <c r="I44" s="16">
        <v>1</v>
      </c>
      <c r="J44" s="16" t="s">
        <v>14362</v>
      </c>
      <c r="K44" s="16"/>
      <c r="L44" s="16" t="s">
        <v>14158</v>
      </c>
      <c r="M44" s="16" t="s">
        <v>9</v>
      </c>
      <c r="N44" s="16" t="s">
        <v>6933</v>
      </c>
      <c r="O44" s="16" t="s">
        <v>816</v>
      </c>
      <c r="P44" s="16" t="s">
        <v>2711</v>
      </c>
      <c r="Q44" s="16"/>
    </row>
    <row r="45" spans="1:17" ht="409.6" customHeight="1" x14ac:dyDescent="0.25">
      <c r="A45" s="16">
        <v>43</v>
      </c>
      <c r="B45" s="20" t="s">
        <v>14363</v>
      </c>
      <c r="C45" s="16"/>
      <c r="D45" s="16" t="s">
        <v>14294</v>
      </c>
      <c r="E45" s="16" t="s">
        <v>14139</v>
      </c>
      <c r="F45" s="16" t="s">
        <v>14297</v>
      </c>
      <c r="G45" s="16" t="s">
        <v>14285</v>
      </c>
      <c r="H45" s="16" t="s">
        <v>14096</v>
      </c>
      <c r="I45" s="16">
        <v>1</v>
      </c>
      <c r="J45" s="16" t="s">
        <v>14364</v>
      </c>
      <c r="K45" s="16"/>
      <c r="L45" s="16" t="s">
        <v>14365</v>
      </c>
      <c r="M45" s="16" t="s">
        <v>9</v>
      </c>
      <c r="N45" s="16" t="s">
        <v>3887</v>
      </c>
      <c r="O45" s="16" t="s">
        <v>816</v>
      </c>
      <c r="P45" s="16" t="s">
        <v>2711</v>
      </c>
      <c r="Q45" s="16"/>
    </row>
    <row r="46" spans="1:17" ht="409.6" customHeight="1" x14ac:dyDescent="0.25">
      <c r="A46" s="16">
        <v>44</v>
      </c>
      <c r="B46" s="20" t="s">
        <v>14366</v>
      </c>
      <c r="C46" s="16"/>
      <c r="D46" s="16" t="s">
        <v>14285</v>
      </c>
      <c r="E46" s="16" t="s">
        <v>14096</v>
      </c>
      <c r="F46" s="16" t="s">
        <v>14286</v>
      </c>
      <c r="G46" s="16" t="s">
        <v>14287</v>
      </c>
      <c r="H46" s="16" t="s">
        <v>14288</v>
      </c>
      <c r="I46" s="16">
        <v>2</v>
      </c>
      <c r="J46" s="16" t="s">
        <v>14367</v>
      </c>
      <c r="K46" s="16"/>
      <c r="L46" s="16" t="s">
        <v>14158</v>
      </c>
      <c r="M46" s="16" t="s">
        <v>9</v>
      </c>
      <c r="N46" s="16" t="s">
        <v>1669</v>
      </c>
      <c r="O46" s="16" t="s">
        <v>816</v>
      </c>
      <c r="P46" s="16" t="s">
        <v>2711</v>
      </c>
      <c r="Q46" s="16"/>
    </row>
    <row r="47" spans="1:17" ht="409.6" customHeight="1" x14ac:dyDescent="0.25">
      <c r="A47" s="16">
        <v>45</v>
      </c>
      <c r="B47" s="20" t="s">
        <v>14368</v>
      </c>
      <c r="C47" s="16"/>
      <c r="D47" s="16" t="s">
        <v>14287</v>
      </c>
      <c r="E47" s="16" t="s">
        <v>14288</v>
      </c>
      <c r="F47" s="16" t="s">
        <v>14292</v>
      </c>
      <c r="G47" s="16" t="s">
        <v>14293</v>
      </c>
      <c r="H47" s="16" t="s">
        <v>14294</v>
      </c>
      <c r="I47" s="16">
        <v>1</v>
      </c>
      <c r="J47" s="16" t="s">
        <v>14369</v>
      </c>
      <c r="K47" s="16"/>
      <c r="L47" s="16" t="s">
        <v>14348</v>
      </c>
      <c r="M47" s="16" t="s">
        <v>9</v>
      </c>
      <c r="N47" s="16" t="s">
        <v>2681</v>
      </c>
      <c r="O47" s="16" t="s">
        <v>816</v>
      </c>
      <c r="P47" s="16" t="s">
        <v>2711</v>
      </c>
      <c r="Q47" s="16"/>
    </row>
    <row r="48" spans="1:17" ht="409.6" customHeight="1" x14ac:dyDescent="0.25">
      <c r="A48" s="16">
        <v>46</v>
      </c>
      <c r="B48" s="20" t="s">
        <v>14370</v>
      </c>
      <c r="C48" s="16"/>
      <c r="D48" s="16" t="s">
        <v>14293</v>
      </c>
      <c r="E48" s="16" t="s">
        <v>14294</v>
      </c>
      <c r="F48" s="16" t="s">
        <v>14139</v>
      </c>
      <c r="G48" s="16" t="s">
        <v>14297</v>
      </c>
      <c r="H48" s="16" t="s">
        <v>14285</v>
      </c>
      <c r="I48" s="16">
        <v>3</v>
      </c>
      <c r="J48" s="16" t="s">
        <v>14371</v>
      </c>
      <c r="K48" s="16"/>
      <c r="L48" s="16" t="s">
        <v>14365</v>
      </c>
      <c r="M48" s="16" t="s">
        <v>9</v>
      </c>
      <c r="N48" s="16" t="s">
        <v>1669</v>
      </c>
      <c r="O48" s="16" t="s">
        <v>816</v>
      </c>
      <c r="P48" s="16" t="s">
        <v>2711</v>
      </c>
      <c r="Q48" s="16"/>
    </row>
    <row r="49" spans="1:17" ht="409.6" customHeight="1" x14ac:dyDescent="0.25">
      <c r="A49" s="16">
        <v>47</v>
      </c>
      <c r="B49" s="20" t="s">
        <v>14372</v>
      </c>
      <c r="C49" s="16"/>
      <c r="D49" s="16" t="s">
        <v>14373</v>
      </c>
      <c r="E49" s="16" t="s">
        <v>14374</v>
      </c>
      <c r="F49" s="16" t="s">
        <v>14375</v>
      </c>
      <c r="G49" s="16" t="s">
        <v>14376</v>
      </c>
      <c r="H49" s="16" t="s">
        <v>14377</v>
      </c>
      <c r="I49" s="16">
        <v>1</v>
      </c>
      <c r="J49" s="16" t="s">
        <v>14378</v>
      </c>
      <c r="K49" s="16"/>
      <c r="L49" s="16" t="s">
        <v>14158</v>
      </c>
      <c r="M49" s="16" t="s">
        <v>9</v>
      </c>
      <c r="N49" s="16" t="s">
        <v>14379</v>
      </c>
      <c r="O49" s="16" t="s">
        <v>816</v>
      </c>
      <c r="P49" s="16" t="s">
        <v>2711</v>
      </c>
      <c r="Q49" s="16"/>
    </row>
    <row r="50" spans="1:17" ht="409.6" customHeight="1" x14ac:dyDescent="0.25">
      <c r="A50" s="16">
        <v>48</v>
      </c>
      <c r="B50" s="20" t="s">
        <v>14380</v>
      </c>
      <c r="C50" s="16"/>
      <c r="D50" s="16" t="s">
        <v>14381</v>
      </c>
      <c r="E50" s="16" t="s">
        <v>14350</v>
      </c>
      <c r="F50" s="16" t="s">
        <v>14351</v>
      </c>
      <c r="G50" s="16" t="s">
        <v>14382</v>
      </c>
      <c r="H50" s="16" t="s">
        <v>14383</v>
      </c>
      <c r="I50" s="16">
        <v>3</v>
      </c>
      <c r="J50" s="16" t="s">
        <v>14384</v>
      </c>
      <c r="K50" s="16"/>
      <c r="L50" s="16" t="s">
        <v>14158</v>
      </c>
      <c r="M50" s="16" t="s">
        <v>9</v>
      </c>
      <c r="N50" s="16" t="s">
        <v>14385</v>
      </c>
      <c r="O50" s="16" t="s">
        <v>816</v>
      </c>
      <c r="P50" s="16" t="s">
        <v>2711</v>
      </c>
      <c r="Q50" s="16"/>
    </row>
    <row r="51" spans="1:17" ht="409.6" customHeight="1" x14ac:dyDescent="0.25">
      <c r="A51" s="16">
        <v>49</v>
      </c>
      <c r="B51" s="20" t="s">
        <v>14386</v>
      </c>
      <c r="C51" s="16"/>
      <c r="D51" s="16" t="s">
        <v>14387</v>
      </c>
      <c r="E51" s="16" t="s">
        <v>14388</v>
      </c>
      <c r="F51" s="16" t="s">
        <v>14389</v>
      </c>
      <c r="G51" s="16" t="s">
        <v>14390</v>
      </c>
      <c r="H51" s="16" t="s">
        <v>14391</v>
      </c>
      <c r="I51" s="16">
        <v>1</v>
      </c>
      <c r="J51" s="16" t="s">
        <v>14392</v>
      </c>
      <c r="K51" s="16"/>
      <c r="L51" s="16" t="s">
        <v>14158</v>
      </c>
      <c r="M51" s="16" t="s">
        <v>9</v>
      </c>
      <c r="N51" s="16" t="s">
        <v>14393</v>
      </c>
      <c r="O51" s="16" t="s">
        <v>816</v>
      </c>
      <c r="P51" s="16" t="s">
        <v>2711</v>
      </c>
      <c r="Q51" s="16"/>
    </row>
    <row r="52" spans="1:17" ht="13.2" customHeight="1" x14ac:dyDescent="0.25">
      <c r="A52" s="35">
        <v>50</v>
      </c>
      <c r="B52" s="34" t="s">
        <v>14394</v>
      </c>
      <c r="C52" s="35"/>
      <c r="D52" s="34" t="s">
        <v>14271</v>
      </c>
      <c r="E52" s="34" t="s">
        <v>14395</v>
      </c>
      <c r="F52" s="34" t="s">
        <v>14350</v>
      </c>
      <c r="G52" s="34" t="s">
        <v>14351</v>
      </c>
      <c r="H52" s="34" t="s">
        <v>14396</v>
      </c>
      <c r="I52" s="35">
        <v>1</v>
      </c>
      <c r="J52" s="34" t="s">
        <v>14397</v>
      </c>
      <c r="K52" s="35"/>
      <c r="L52" s="34" t="s">
        <v>14398</v>
      </c>
      <c r="M52" s="35" t="s">
        <v>9</v>
      </c>
      <c r="N52" s="34" t="s">
        <v>14399</v>
      </c>
      <c r="O52" s="35" t="s">
        <v>164</v>
      </c>
      <c r="P52" s="35" t="s">
        <v>1865</v>
      </c>
    </row>
    <row r="53" spans="1:17" ht="13.2" customHeight="1" x14ac:dyDescent="0.25">
      <c r="A53" s="35">
        <v>51</v>
      </c>
      <c r="B53" s="34" t="s">
        <v>14400</v>
      </c>
      <c r="C53" s="35"/>
      <c r="D53" s="34" t="s">
        <v>14396</v>
      </c>
      <c r="E53" s="34" t="s">
        <v>14271</v>
      </c>
      <c r="F53" s="34" t="s">
        <v>14401</v>
      </c>
      <c r="G53" s="34" t="s">
        <v>14351</v>
      </c>
      <c r="H53" s="34" t="s">
        <v>14402</v>
      </c>
      <c r="I53" s="35">
        <v>1</v>
      </c>
      <c r="J53" s="34" t="s">
        <v>14403</v>
      </c>
      <c r="K53" s="35"/>
      <c r="L53" s="34" t="s">
        <v>14398</v>
      </c>
      <c r="M53" s="35" t="s">
        <v>9</v>
      </c>
      <c r="N53" s="34" t="s">
        <v>14404</v>
      </c>
      <c r="O53" s="35" t="s">
        <v>164</v>
      </c>
      <c r="P53" s="35" t="s">
        <v>1865</v>
      </c>
    </row>
    <row r="54" spans="1:17" ht="13.2" customHeight="1" x14ac:dyDescent="0.25">
      <c r="A54" s="35">
        <v>52</v>
      </c>
      <c r="B54" s="34" t="s">
        <v>14405</v>
      </c>
      <c r="C54" s="35"/>
      <c r="D54" s="34" t="s">
        <v>10123</v>
      </c>
      <c r="E54" s="34" t="s">
        <v>123</v>
      </c>
      <c r="F54" s="34" t="s">
        <v>10093</v>
      </c>
      <c r="G54" s="34" t="s">
        <v>10111</v>
      </c>
      <c r="H54" s="34" t="s">
        <v>12764</v>
      </c>
      <c r="I54" s="35">
        <v>1</v>
      </c>
      <c r="J54" s="34" t="s">
        <v>14406</v>
      </c>
      <c r="K54" s="35"/>
      <c r="L54" s="34" t="s">
        <v>14398</v>
      </c>
      <c r="M54" s="35" t="s">
        <v>9</v>
      </c>
      <c r="N54" s="34" t="s">
        <v>14407</v>
      </c>
      <c r="O54" s="35" t="s">
        <v>164</v>
      </c>
      <c r="P54" s="35" t="s">
        <v>1865</v>
      </c>
    </row>
    <row r="55" spans="1:17" ht="13.2" customHeight="1" x14ac:dyDescent="0.25">
      <c r="A55" s="35">
        <v>53</v>
      </c>
      <c r="B55" s="34" t="s">
        <v>14408</v>
      </c>
      <c r="C55" s="35"/>
      <c r="D55" s="34" t="s">
        <v>14409</v>
      </c>
      <c r="E55" s="34" t="s">
        <v>14410</v>
      </c>
      <c r="F55" s="34" t="s">
        <v>14411</v>
      </c>
      <c r="G55" s="34" t="s">
        <v>14412</v>
      </c>
      <c r="H55" s="34" t="s">
        <v>14413</v>
      </c>
      <c r="I55" s="35">
        <v>1</v>
      </c>
      <c r="J55" s="34" t="s">
        <v>14414</v>
      </c>
      <c r="K55" s="35"/>
      <c r="L55" s="34" t="s">
        <v>14398</v>
      </c>
      <c r="M55" s="35" t="s">
        <v>9</v>
      </c>
      <c r="N55" s="34" t="s">
        <v>14415</v>
      </c>
      <c r="O55" s="35" t="s">
        <v>164</v>
      </c>
      <c r="P55" s="35" t="s">
        <v>2109</v>
      </c>
    </row>
    <row r="56" spans="1:17" ht="13.2" customHeight="1" x14ac:dyDescent="0.25">
      <c r="A56" s="35">
        <v>54</v>
      </c>
      <c r="B56" s="34" t="s">
        <v>14416</v>
      </c>
      <c r="C56" s="35"/>
      <c r="D56" s="34" t="s">
        <v>6866</v>
      </c>
      <c r="E56" s="34" t="s">
        <v>14417</v>
      </c>
      <c r="F56" s="34" t="s">
        <v>14351</v>
      </c>
      <c r="G56" s="34" t="s">
        <v>14418</v>
      </c>
      <c r="H56" s="34" t="s">
        <v>14419</v>
      </c>
      <c r="I56" s="35">
        <v>1</v>
      </c>
      <c r="J56" s="34" t="s">
        <v>14420</v>
      </c>
      <c r="K56" s="35"/>
      <c r="L56" s="34" t="s">
        <v>14398</v>
      </c>
      <c r="M56" s="35" t="s">
        <v>9</v>
      </c>
      <c r="N56" s="34" t="s">
        <v>14421</v>
      </c>
      <c r="O56" s="35" t="s">
        <v>164</v>
      </c>
      <c r="P56" s="35" t="s">
        <v>2109</v>
      </c>
    </row>
    <row r="57" spans="1:17" ht="13.2" customHeight="1" x14ac:dyDescent="0.25">
      <c r="A57" s="35">
        <v>55</v>
      </c>
      <c r="B57" s="34" t="s">
        <v>14422</v>
      </c>
      <c r="C57" s="35" t="s">
        <v>14423</v>
      </c>
      <c r="D57" s="34" t="s">
        <v>14424</v>
      </c>
      <c r="E57" s="34" t="s">
        <v>14351</v>
      </c>
      <c r="F57" s="34" t="s">
        <v>6866</v>
      </c>
      <c r="G57" s="34" t="s">
        <v>14350</v>
      </c>
      <c r="H57" s="34" t="s">
        <v>14425</v>
      </c>
      <c r="I57" s="35">
        <v>1</v>
      </c>
      <c r="J57" s="34" t="s">
        <v>14426</v>
      </c>
      <c r="K57" s="35"/>
      <c r="L57" s="34" t="s">
        <v>14398</v>
      </c>
      <c r="M57" s="35" t="s">
        <v>9</v>
      </c>
      <c r="N57" s="34" t="s">
        <v>14427</v>
      </c>
      <c r="O57" s="35" t="s">
        <v>164</v>
      </c>
      <c r="P57" s="35" t="s">
        <v>2155</v>
      </c>
    </row>
    <row r="58" spans="1:17" ht="13.2" customHeight="1" x14ac:dyDescent="0.25">
      <c r="A58" s="35">
        <v>56</v>
      </c>
      <c r="B58" s="34" t="s">
        <v>14428</v>
      </c>
      <c r="C58" s="35" t="s">
        <v>14429</v>
      </c>
      <c r="D58" s="34" t="s">
        <v>14430</v>
      </c>
      <c r="E58" s="34" t="s">
        <v>14431</v>
      </c>
      <c r="F58" s="34" t="s">
        <v>14351</v>
      </c>
      <c r="G58" s="34" t="s">
        <v>11258</v>
      </c>
      <c r="H58" s="34" t="s">
        <v>14432</v>
      </c>
      <c r="I58" s="35">
        <v>1</v>
      </c>
      <c r="J58" s="34" t="s">
        <v>14433</v>
      </c>
      <c r="K58" s="35"/>
      <c r="L58" s="34" t="s">
        <v>14398</v>
      </c>
      <c r="M58" s="35" t="s">
        <v>9</v>
      </c>
      <c r="N58" s="34" t="s">
        <v>14434</v>
      </c>
      <c r="O58" s="35" t="s">
        <v>164</v>
      </c>
      <c r="P58" s="35" t="s">
        <v>2155</v>
      </c>
    </row>
    <row r="59" spans="1:17" ht="13.2" customHeight="1" x14ac:dyDescent="0.25">
      <c r="A59" s="35">
        <v>57</v>
      </c>
      <c r="B59" s="34" t="s">
        <v>14435</v>
      </c>
      <c r="C59" s="35" t="s">
        <v>14436</v>
      </c>
      <c r="D59" s="34" t="s">
        <v>14437</v>
      </c>
      <c r="E59" s="34" t="s">
        <v>14438</v>
      </c>
      <c r="F59" s="34" t="s">
        <v>14439</v>
      </c>
      <c r="G59" s="34" t="s">
        <v>14440</v>
      </c>
      <c r="H59" s="34" t="s">
        <v>14441</v>
      </c>
      <c r="I59" s="35">
        <v>1</v>
      </c>
      <c r="J59" s="34" t="s">
        <v>14442</v>
      </c>
      <c r="K59" s="35"/>
      <c r="L59" s="34" t="s">
        <v>14398</v>
      </c>
      <c r="M59" s="35" t="s">
        <v>9</v>
      </c>
      <c r="N59" s="34" t="s">
        <v>14443</v>
      </c>
      <c r="O59" s="35" t="s">
        <v>164</v>
      </c>
      <c r="P59" s="35" t="s">
        <v>2155</v>
      </c>
    </row>
    <row r="60" spans="1:17" ht="13.2" customHeight="1" x14ac:dyDescent="0.25">
      <c r="A60" s="35">
        <v>58</v>
      </c>
      <c r="B60" s="34" t="s">
        <v>14444</v>
      </c>
      <c r="C60" s="35"/>
      <c r="D60" s="34" t="s">
        <v>14445</v>
      </c>
      <c r="E60" s="34" t="s">
        <v>14402</v>
      </c>
      <c r="F60" s="34" t="s">
        <v>14446</v>
      </c>
      <c r="G60" s="34" t="s">
        <v>14447</v>
      </c>
      <c r="H60" s="34" t="s">
        <v>14448</v>
      </c>
      <c r="I60" s="35">
        <v>1</v>
      </c>
      <c r="J60" s="34" t="s">
        <v>14449</v>
      </c>
      <c r="K60" s="35"/>
      <c r="L60" s="34" t="s">
        <v>14398</v>
      </c>
      <c r="M60" s="35" t="s">
        <v>9</v>
      </c>
      <c r="N60" s="34" t="s">
        <v>14450</v>
      </c>
      <c r="O60" s="35" t="s">
        <v>164</v>
      </c>
      <c r="P60" s="35" t="s">
        <v>2155</v>
      </c>
    </row>
    <row r="61" spans="1:17" ht="13.2" customHeight="1" x14ac:dyDescent="0.25">
      <c r="A61" s="35">
        <v>59</v>
      </c>
      <c r="B61" s="34" t="s">
        <v>14451</v>
      </c>
      <c r="C61" s="35" t="s">
        <v>14452</v>
      </c>
      <c r="D61" s="34" t="s">
        <v>14351</v>
      </c>
      <c r="E61" s="34" t="s">
        <v>14453</v>
      </c>
      <c r="F61" s="34" t="s">
        <v>14350</v>
      </c>
      <c r="G61" s="34" t="s">
        <v>14454</v>
      </c>
      <c r="H61" s="34" t="s">
        <v>14455</v>
      </c>
      <c r="I61" s="35">
        <v>1</v>
      </c>
      <c r="J61" s="34" t="s">
        <v>14456</v>
      </c>
      <c r="K61" s="35"/>
      <c r="L61" s="34" t="s">
        <v>14398</v>
      </c>
      <c r="M61" s="35" t="s">
        <v>9</v>
      </c>
      <c r="N61" s="34" t="s">
        <v>14457</v>
      </c>
      <c r="O61" s="35" t="s">
        <v>164</v>
      </c>
      <c r="P61" s="35" t="s">
        <v>2155</v>
      </c>
    </row>
    <row r="62" spans="1:17" ht="13.2" customHeight="1" x14ac:dyDescent="0.25">
      <c r="A62" s="35">
        <v>60</v>
      </c>
      <c r="B62" s="34" t="s">
        <v>14458</v>
      </c>
      <c r="C62" s="35" t="s">
        <v>14459</v>
      </c>
      <c r="D62" s="34" t="s">
        <v>14460</v>
      </c>
      <c r="E62" s="34" t="s">
        <v>14461</v>
      </c>
      <c r="F62" s="34" t="s">
        <v>14462</v>
      </c>
      <c r="G62" s="34" t="s">
        <v>14463</v>
      </c>
      <c r="H62" s="34" t="s">
        <v>14464</v>
      </c>
      <c r="I62" s="35">
        <v>1</v>
      </c>
      <c r="J62" s="34" t="s">
        <v>14465</v>
      </c>
      <c r="K62" s="35"/>
      <c r="L62" s="34" t="s">
        <v>14398</v>
      </c>
      <c r="M62" s="35" t="s">
        <v>9</v>
      </c>
      <c r="N62" s="34" t="s">
        <v>14466</v>
      </c>
      <c r="O62" s="35" t="s">
        <v>164</v>
      </c>
      <c r="P62" s="35" t="s">
        <v>2155</v>
      </c>
    </row>
    <row r="63" spans="1:17" ht="13.2" customHeight="1" x14ac:dyDescent="0.25">
      <c r="A63" s="35">
        <v>61</v>
      </c>
      <c r="B63" s="34" t="s">
        <v>14467</v>
      </c>
      <c r="C63" s="35"/>
      <c r="D63" s="34" t="s">
        <v>14468</v>
      </c>
      <c r="E63" s="34" t="s">
        <v>14469</v>
      </c>
      <c r="F63" s="34" t="s">
        <v>14470</v>
      </c>
      <c r="G63" s="34" t="s">
        <v>14471</v>
      </c>
      <c r="H63" s="34" t="s">
        <v>14472</v>
      </c>
      <c r="I63" s="35">
        <v>1</v>
      </c>
      <c r="J63" s="34" t="s">
        <v>14473</v>
      </c>
      <c r="K63" s="35"/>
      <c r="L63" s="34" t="s">
        <v>14398</v>
      </c>
      <c r="M63" s="35" t="s">
        <v>9</v>
      </c>
      <c r="N63" s="34" t="s">
        <v>14474</v>
      </c>
      <c r="O63" s="35" t="s">
        <v>164</v>
      </c>
      <c r="P63" s="35" t="s">
        <v>2155</v>
      </c>
    </row>
    <row r="64" spans="1:17" ht="13.2" customHeight="1" x14ac:dyDescent="0.25">
      <c r="A64" s="35">
        <v>62</v>
      </c>
      <c r="B64" s="34" t="s">
        <v>14475</v>
      </c>
      <c r="C64" s="35" t="s">
        <v>14476</v>
      </c>
      <c r="D64" s="34" t="s">
        <v>14477</v>
      </c>
      <c r="E64" s="34" t="s">
        <v>14478</v>
      </c>
      <c r="F64" s="34" t="s">
        <v>14479</v>
      </c>
      <c r="G64" s="34" t="s">
        <v>14480</v>
      </c>
      <c r="H64" s="34" t="s">
        <v>14481</v>
      </c>
      <c r="I64" s="35">
        <v>1</v>
      </c>
      <c r="J64" s="34" t="s">
        <v>14482</v>
      </c>
      <c r="K64" s="35"/>
      <c r="L64" s="34" t="s">
        <v>14398</v>
      </c>
      <c r="M64" s="35" t="s">
        <v>9</v>
      </c>
      <c r="N64" s="34" t="s">
        <v>14483</v>
      </c>
      <c r="O64" s="35" t="s">
        <v>164</v>
      </c>
      <c r="P64" s="35" t="s">
        <v>2155</v>
      </c>
    </row>
    <row r="65" spans="1:16" ht="13.2" customHeight="1" x14ac:dyDescent="0.25">
      <c r="A65" s="35">
        <v>63</v>
      </c>
      <c r="B65" s="34" t="s">
        <v>14484</v>
      </c>
      <c r="C65" s="35"/>
      <c r="D65" s="34" t="s">
        <v>14350</v>
      </c>
      <c r="E65" s="34" t="s">
        <v>14354</v>
      </c>
      <c r="F65" s="34" t="s">
        <v>14485</v>
      </c>
      <c r="G65" s="34" t="s">
        <v>14486</v>
      </c>
      <c r="H65" s="34" t="s">
        <v>14487</v>
      </c>
      <c r="I65" s="35">
        <v>1</v>
      </c>
      <c r="J65" s="34" t="s">
        <v>14488</v>
      </c>
      <c r="K65" s="35"/>
      <c r="L65" s="34" t="s">
        <v>14398</v>
      </c>
      <c r="M65" s="35" t="s">
        <v>9</v>
      </c>
      <c r="N65" s="34" t="s">
        <v>14489</v>
      </c>
      <c r="O65" s="35" t="s">
        <v>164</v>
      </c>
      <c r="P65" s="35" t="s">
        <v>2155</v>
      </c>
    </row>
    <row r="66" spans="1:16" ht="13.2" customHeight="1" x14ac:dyDescent="0.25">
      <c r="A66" s="35">
        <v>64</v>
      </c>
      <c r="B66" s="34" t="s">
        <v>14490</v>
      </c>
      <c r="C66" s="35" t="s">
        <v>14491</v>
      </c>
      <c r="D66" s="34" t="s">
        <v>14351</v>
      </c>
      <c r="E66" s="34" t="s">
        <v>14453</v>
      </c>
      <c r="F66" s="34" t="s">
        <v>14350</v>
      </c>
      <c r="G66" s="34" t="s">
        <v>14492</v>
      </c>
      <c r="H66" s="34" t="s">
        <v>14493</v>
      </c>
      <c r="I66" s="35">
        <v>1</v>
      </c>
      <c r="J66" s="34" t="s">
        <v>14494</v>
      </c>
      <c r="K66" s="35"/>
      <c r="L66" s="34" t="s">
        <v>14398</v>
      </c>
      <c r="M66" s="35" t="s">
        <v>9</v>
      </c>
      <c r="N66" s="34" t="s">
        <v>14495</v>
      </c>
      <c r="O66" s="35" t="s">
        <v>164</v>
      </c>
      <c r="P66" s="35" t="s">
        <v>3354</v>
      </c>
    </row>
    <row r="67" spans="1:16" ht="13.2" customHeight="1" x14ac:dyDescent="0.25">
      <c r="A67" s="35">
        <v>65</v>
      </c>
      <c r="B67" s="34" t="s">
        <v>14496</v>
      </c>
      <c r="C67" s="35" t="s">
        <v>14497</v>
      </c>
      <c r="D67" s="34" t="s">
        <v>14498</v>
      </c>
      <c r="E67" s="34" t="s">
        <v>14499</v>
      </c>
      <c r="F67" s="34" t="s">
        <v>14395</v>
      </c>
      <c r="G67" s="34" t="s">
        <v>14500</v>
      </c>
      <c r="H67" s="34" t="s">
        <v>14501</v>
      </c>
      <c r="I67" s="35">
        <v>5</v>
      </c>
      <c r="J67" s="34" t="s">
        <v>14502</v>
      </c>
      <c r="K67" s="35"/>
      <c r="L67" s="34" t="s">
        <v>14398</v>
      </c>
      <c r="M67" s="35" t="s">
        <v>9</v>
      </c>
      <c r="N67" s="34" t="s">
        <v>14503</v>
      </c>
      <c r="O67" s="35" t="s">
        <v>164</v>
      </c>
      <c r="P67" s="35" t="s">
        <v>3354</v>
      </c>
    </row>
    <row r="68" spans="1:16" ht="13.2" customHeight="1" x14ac:dyDescent="0.25">
      <c r="A68" s="35">
        <v>66</v>
      </c>
      <c r="B68" s="34" t="s">
        <v>14504</v>
      </c>
      <c r="C68" s="35"/>
      <c r="D68" s="34" t="s">
        <v>14445</v>
      </c>
      <c r="E68" s="34" t="s">
        <v>14402</v>
      </c>
      <c r="F68" s="34" t="s">
        <v>14446</v>
      </c>
      <c r="G68" s="34" t="s">
        <v>14447</v>
      </c>
      <c r="H68" s="34" t="s">
        <v>14505</v>
      </c>
      <c r="I68" s="35">
        <v>5</v>
      </c>
      <c r="J68" s="34" t="s">
        <v>14506</v>
      </c>
      <c r="K68" s="35"/>
      <c r="L68" s="34" t="s">
        <v>14398</v>
      </c>
      <c r="M68" s="35" t="s">
        <v>9</v>
      </c>
      <c r="N68" s="34" t="s">
        <v>14507</v>
      </c>
      <c r="O68" s="35" t="s">
        <v>164</v>
      </c>
      <c r="P68" s="35" t="s">
        <v>3354</v>
      </c>
    </row>
    <row r="69" spans="1:16" ht="13.2" customHeight="1" x14ac:dyDescent="0.25">
      <c r="A69" s="35">
        <v>67</v>
      </c>
      <c r="B69" s="34" t="s">
        <v>14508</v>
      </c>
      <c r="C69" s="35"/>
      <c r="D69" s="34" t="s">
        <v>14509</v>
      </c>
      <c r="E69" s="34" t="s">
        <v>14510</v>
      </c>
      <c r="F69" s="34" t="s">
        <v>14511</v>
      </c>
      <c r="G69" s="34" t="s">
        <v>14512</v>
      </c>
      <c r="H69" s="34" t="s">
        <v>14513</v>
      </c>
      <c r="I69" s="35">
        <v>1</v>
      </c>
      <c r="J69" s="34" t="s">
        <v>14514</v>
      </c>
      <c r="K69" s="35"/>
      <c r="L69" s="34" t="s">
        <v>14398</v>
      </c>
      <c r="M69" s="35" t="s">
        <v>9</v>
      </c>
      <c r="N69" s="34" t="s">
        <v>14515</v>
      </c>
      <c r="O69" s="35" t="s">
        <v>164</v>
      </c>
      <c r="P69" s="35" t="s">
        <v>2206</v>
      </c>
    </row>
    <row r="70" spans="1:16" ht="13.2" customHeight="1" x14ac:dyDescent="0.25">
      <c r="A70" s="35">
        <v>68</v>
      </c>
      <c r="B70" s="34" t="s">
        <v>14516</v>
      </c>
      <c r="C70" s="35"/>
      <c r="D70" s="34" t="s">
        <v>14517</v>
      </c>
      <c r="E70" s="34" t="s">
        <v>14518</v>
      </c>
      <c r="F70" s="34" t="s">
        <v>14519</v>
      </c>
      <c r="G70" s="34" t="s">
        <v>3550</v>
      </c>
      <c r="H70" s="34" t="s">
        <v>14520</v>
      </c>
      <c r="I70" s="35">
        <v>1</v>
      </c>
      <c r="J70" s="34" t="s">
        <v>14521</v>
      </c>
      <c r="K70" s="35"/>
      <c r="L70" s="34" t="s">
        <v>14398</v>
      </c>
      <c r="M70" s="35" t="s">
        <v>9</v>
      </c>
      <c r="N70" s="34" t="s">
        <v>14522</v>
      </c>
      <c r="O70" s="35" t="s">
        <v>164</v>
      </c>
      <c r="P70" s="35" t="s">
        <v>2206</v>
      </c>
    </row>
    <row r="71" spans="1:16" ht="13.2" customHeight="1" x14ac:dyDescent="0.25">
      <c r="A71" s="35">
        <v>69</v>
      </c>
      <c r="B71" s="34" t="s">
        <v>14523</v>
      </c>
      <c r="C71" s="35"/>
      <c r="D71" s="34" t="s">
        <v>14524</v>
      </c>
      <c r="E71" s="34" t="s">
        <v>14525</v>
      </c>
      <c r="F71" s="34" t="s">
        <v>14470</v>
      </c>
      <c r="G71" s="34" t="s">
        <v>14526</v>
      </c>
      <c r="H71" s="34" t="s">
        <v>14527</v>
      </c>
      <c r="I71" s="35">
        <v>1</v>
      </c>
      <c r="J71" s="34" t="s">
        <v>14528</v>
      </c>
      <c r="K71" s="35"/>
      <c r="L71" s="34" t="s">
        <v>14398</v>
      </c>
      <c r="M71" s="35" t="s">
        <v>9</v>
      </c>
      <c r="N71" s="34" t="s">
        <v>14529</v>
      </c>
      <c r="O71" s="35" t="s">
        <v>164</v>
      </c>
      <c r="P71" s="35" t="s">
        <v>2271</v>
      </c>
    </row>
    <row r="72" spans="1:16" ht="13.2" customHeight="1" x14ac:dyDescent="0.25">
      <c r="A72" s="35">
        <v>70</v>
      </c>
      <c r="B72" s="34" t="s">
        <v>14530</v>
      </c>
      <c r="C72" s="35" t="s">
        <v>14531</v>
      </c>
      <c r="D72" s="34" t="s">
        <v>12764</v>
      </c>
      <c r="E72" s="34" t="s">
        <v>14211</v>
      </c>
      <c r="F72" s="34" t="s">
        <v>14210</v>
      </c>
      <c r="G72" s="34" t="s">
        <v>90</v>
      </c>
      <c r="H72" s="34" t="s">
        <v>14212</v>
      </c>
      <c r="I72" s="35">
        <v>1</v>
      </c>
      <c r="J72" s="34" t="s">
        <v>14532</v>
      </c>
      <c r="K72" s="35"/>
      <c r="L72" s="34" t="s">
        <v>14398</v>
      </c>
      <c r="M72" s="35" t="s">
        <v>9</v>
      </c>
      <c r="N72" s="34" t="s">
        <v>14533</v>
      </c>
      <c r="O72" s="35" t="s">
        <v>164</v>
      </c>
      <c r="P72" s="35" t="s">
        <v>2271</v>
      </c>
    </row>
    <row r="73" spans="1:16" ht="13.2" customHeight="1" x14ac:dyDescent="0.25">
      <c r="A73" s="35">
        <v>71</v>
      </c>
      <c r="B73" s="34" t="s">
        <v>14534</v>
      </c>
      <c r="C73" s="35"/>
      <c r="D73" s="34" t="s">
        <v>14351</v>
      </c>
      <c r="E73" s="34" t="s">
        <v>14535</v>
      </c>
      <c r="F73" s="34" t="s">
        <v>14536</v>
      </c>
      <c r="G73" s="34" t="s">
        <v>13711</v>
      </c>
      <c r="H73" s="34" t="s">
        <v>14537</v>
      </c>
      <c r="I73" s="35">
        <v>1</v>
      </c>
      <c r="J73" s="34" t="s">
        <v>14538</v>
      </c>
      <c r="K73" s="35"/>
      <c r="L73" s="34" t="s">
        <v>14398</v>
      </c>
      <c r="M73" s="35" t="s">
        <v>9</v>
      </c>
      <c r="N73" s="34" t="s">
        <v>14539</v>
      </c>
      <c r="O73" s="35" t="s">
        <v>164</v>
      </c>
      <c r="P73" s="35" t="s">
        <v>2271</v>
      </c>
    </row>
    <row r="74" spans="1:16" ht="13.2" customHeight="1" x14ac:dyDescent="0.25">
      <c r="A74" s="35">
        <v>72</v>
      </c>
      <c r="B74" s="34" t="s">
        <v>14540</v>
      </c>
      <c r="C74" s="35"/>
      <c r="D74" s="34" t="s">
        <v>14350</v>
      </c>
      <c r="E74" s="34" t="s">
        <v>14354</v>
      </c>
      <c r="F74" s="34" t="s">
        <v>14541</v>
      </c>
      <c r="G74" s="34" t="s">
        <v>14542</v>
      </c>
      <c r="H74" s="34" t="s">
        <v>14543</v>
      </c>
      <c r="I74" s="35">
        <v>1</v>
      </c>
      <c r="J74" s="34" t="s">
        <v>14544</v>
      </c>
      <c r="K74" s="35"/>
      <c r="L74" s="34" t="s">
        <v>14398</v>
      </c>
      <c r="M74" s="35" t="s">
        <v>9</v>
      </c>
      <c r="N74" s="34" t="s">
        <v>14545</v>
      </c>
      <c r="O74" s="35" t="s">
        <v>164</v>
      </c>
      <c r="P74" s="35" t="s">
        <v>2271</v>
      </c>
    </row>
    <row r="75" spans="1:16" ht="13.2" customHeight="1" x14ac:dyDescent="0.25">
      <c r="A75" s="35">
        <v>73</v>
      </c>
      <c r="B75" s="34" t="s">
        <v>14546</v>
      </c>
      <c r="C75" s="35"/>
      <c r="D75" s="34" t="s">
        <v>14547</v>
      </c>
      <c r="E75" s="34" t="s">
        <v>14548</v>
      </c>
      <c r="F75" s="34" t="s">
        <v>14549</v>
      </c>
      <c r="G75" s="34" t="s">
        <v>14550</v>
      </c>
      <c r="H75" s="34" t="s">
        <v>14551</v>
      </c>
      <c r="I75" s="35">
        <v>1</v>
      </c>
      <c r="J75" s="34" t="s">
        <v>14552</v>
      </c>
      <c r="K75" s="35"/>
      <c r="L75" s="34" t="s">
        <v>14398</v>
      </c>
      <c r="M75" s="35" t="s">
        <v>9</v>
      </c>
      <c r="N75" s="34" t="s">
        <v>14553</v>
      </c>
      <c r="O75" s="35" t="s">
        <v>164</v>
      </c>
      <c r="P75" s="35" t="s">
        <v>2271</v>
      </c>
    </row>
    <row r="76" spans="1:16" ht="13.2" customHeight="1" x14ac:dyDescent="0.25">
      <c r="A76" s="35">
        <v>74</v>
      </c>
      <c r="B76" s="34" t="s">
        <v>14554</v>
      </c>
      <c r="C76" s="35" t="s">
        <v>14555</v>
      </c>
      <c r="D76" s="34" t="s">
        <v>14351</v>
      </c>
      <c r="E76" s="34" t="s">
        <v>14363</v>
      </c>
      <c r="F76" s="34" t="s">
        <v>14537</v>
      </c>
      <c r="G76" s="34" t="s">
        <v>11257</v>
      </c>
      <c r="H76" s="34" t="s">
        <v>14556</v>
      </c>
      <c r="I76" s="35">
        <v>1</v>
      </c>
      <c r="J76" s="34" t="s">
        <v>14557</v>
      </c>
      <c r="K76" s="35"/>
      <c r="L76" s="34" t="s">
        <v>14398</v>
      </c>
      <c r="M76" s="35" t="s">
        <v>9</v>
      </c>
      <c r="N76" s="34" t="s">
        <v>14558</v>
      </c>
      <c r="O76" s="35" t="s">
        <v>164</v>
      </c>
      <c r="P76" s="35" t="s">
        <v>2271</v>
      </c>
    </row>
    <row r="77" spans="1:16" ht="13.2" customHeight="1" x14ac:dyDescent="0.25">
      <c r="A77" s="35">
        <v>75</v>
      </c>
      <c r="B77" s="34" t="s">
        <v>14559</v>
      </c>
      <c r="C77" s="35"/>
      <c r="D77" s="34" t="s">
        <v>14560</v>
      </c>
      <c r="E77" s="34" t="s">
        <v>14561</v>
      </c>
      <c r="F77" s="34" t="s">
        <v>14562</v>
      </c>
      <c r="G77" s="34" t="s">
        <v>14563</v>
      </c>
      <c r="H77" s="34" t="s">
        <v>14564</v>
      </c>
      <c r="I77" s="35">
        <v>1</v>
      </c>
      <c r="J77" s="34" t="s">
        <v>14565</v>
      </c>
      <c r="K77" s="35"/>
      <c r="L77" s="34" t="s">
        <v>14398</v>
      </c>
      <c r="M77" s="35" t="s">
        <v>9</v>
      </c>
      <c r="N77" s="34" t="s">
        <v>14566</v>
      </c>
      <c r="O77" s="35" t="s">
        <v>164</v>
      </c>
      <c r="P77" s="35" t="s">
        <v>2271</v>
      </c>
    </row>
    <row r="78" spans="1:16" ht="13.2" customHeight="1" x14ac:dyDescent="0.25">
      <c r="A78" s="35">
        <v>76</v>
      </c>
      <c r="B78" s="34" t="s">
        <v>14567</v>
      </c>
      <c r="C78" s="35"/>
      <c r="D78" s="34" t="s">
        <v>14568</v>
      </c>
      <c r="E78" s="34" t="s">
        <v>14569</v>
      </c>
      <c r="F78" s="34" t="s">
        <v>14570</v>
      </c>
      <c r="G78" s="34" t="s">
        <v>14571</v>
      </c>
      <c r="H78" s="34" t="s">
        <v>14572</v>
      </c>
      <c r="I78" s="35">
        <v>1</v>
      </c>
      <c r="J78" s="34" t="s">
        <v>14573</v>
      </c>
      <c r="K78" s="35"/>
      <c r="L78" s="34" t="s">
        <v>14398</v>
      </c>
      <c r="M78" s="35" t="s">
        <v>9</v>
      </c>
      <c r="N78" s="34" t="s">
        <v>14574</v>
      </c>
      <c r="O78" s="35" t="s">
        <v>164</v>
      </c>
      <c r="P78" s="35" t="s">
        <v>2514</v>
      </c>
    </row>
    <row r="79" spans="1:16" ht="13.2" customHeight="1" x14ac:dyDescent="0.25"/>
    <row r="80" spans="1:16" ht="13.2" customHeight="1" x14ac:dyDescent="0.25"/>
    <row r="81" ht="13.2" customHeight="1" x14ac:dyDescent="0.25"/>
    <row r="82" ht="13.2" customHeight="1" x14ac:dyDescent="0.25"/>
    <row r="83" ht="13.2" customHeight="1" x14ac:dyDescent="0.25"/>
    <row r="84" ht="13.2" customHeight="1" x14ac:dyDescent="0.25"/>
    <row r="85" ht="13.2" customHeight="1" x14ac:dyDescent="0.25"/>
    <row r="86" ht="13.2" customHeight="1" x14ac:dyDescent="0.25"/>
    <row r="87" ht="13.2" customHeight="1" x14ac:dyDescent="0.25"/>
    <row r="88" ht="13.2" customHeight="1" x14ac:dyDescent="0.25"/>
    <row r="89" ht="13.2" customHeight="1" x14ac:dyDescent="0.25"/>
    <row r="90" ht="13.2" customHeight="1" x14ac:dyDescent="0.25"/>
    <row r="91" ht="13.2" customHeight="1" x14ac:dyDescent="0.25"/>
    <row r="92" ht="13.2" customHeight="1" x14ac:dyDescent="0.25"/>
    <row r="93" ht="13.2" customHeight="1" x14ac:dyDescent="0.25"/>
    <row r="94" ht="13.2" customHeight="1" x14ac:dyDescent="0.25"/>
    <row r="95" ht="13.2" customHeight="1" x14ac:dyDescent="0.25"/>
    <row r="96" ht="13.2" customHeight="1" x14ac:dyDescent="0.25"/>
    <row r="97" ht="13.2" customHeight="1" x14ac:dyDescent="0.25"/>
    <row r="98" ht="13.2" customHeight="1" x14ac:dyDescent="0.25"/>
    <row r="99" ht="13.2" customHeight="1" x14ac:dyDescent="0.25"/>
    <row r="100" ht="13.2" customHeight="1" x14ac:dyDescent="0.25"/>
    <row r="101" ht="13.2" customHeight="1" x14ac:dyDescent="0.25"/>
    <row r="102" ht="13.2" customHeight="1" x14ac:dyDescent="0.25"/>
    <row r="103" ht="13.2" customHeight="1" x14ac:dyDescent="0.25"/>
    <row r="104" ht="13.2" customHeight="1" x14ac:dyDescent="0.25"/>
    <row r="105" ht="13.2" customHeight="1" x14ac:dyDescent="0.25"/>
    <row r="106" ht="13.2" customHeight="1" x14ac:dyDescent="0.25"/>
    <row r="107" ht="13.2" customHeight="1" x14ac:dyDescent="0.25"/>
    <row r="108" ht="13.2" customHeight="1" x14ac:dyDescent="0.25"/>
    <row r="109" ht="13.2" customHeight="1" x14ac:dyDescent="0.25"/>
    <row r="110" ht="13.2" customHeight="1" x14ac:dyDescent="0.25"/>
    <row r="111" ht="13.2" customHeight="1" x14ac:dyDescent="0.25"/>
    <row r="112" ht="13.2" customHeight="1" x14ac:dyDescent="0.25"/>
    <row r="113" ht="13.2" customHeight="1" x14ac:dyDescent="0.25"/>
    <row r="114" ht="13.2" customHeight="1" x14ac:dyDescent="0.25"/>
    <row r="115" ht="13.2" customHeight="1" x14ac:dyDescent="0.25"/>
    <row r="116" ht="13.2" customHeight="1" x14ac:dyDescent="0.25"/>
    <row r="117" ht="13.2" customHeight="1" x14ac:dyDescent="0.25"/>
    <row r="118" ht="13.2" customHeight="1" x14ac:dyDescent="0.25"/>
    <row r="119" ht="13.2" customHeight="1" x14ac:dyDescent="0.25"/>
    <row r="120" ht="13.2" customHeight="1" x14ac:dyDescent="0.25"/>
    <row r="121" ht="13.2" customHeight="1" x14ac:dyDescent="0.25"/>
    <row r="122" ht="13.2" customHeight="1" x14ac:dyDescent="0.25"/>
    <row r="123" ht="13.2" customHeight="1" x14ac:dyDescent="0.25"/>
    <row r="124" ht="13.2" customHeight="1" x14ac:dyDescent="0.25"/>
    <row r="125" ht="13.2" customHeight="1" x14ac:dyDescent="0.25"/>
    <row r="126" ht="13.2" customHeight="1" x14ac:dyDescent="0.25"/>
    <row r="127" ht="13.2" customHeight="1" x14ac:dyDescent="0.25"/>
    <row r="128" ht="13.2" customHeight="1" x14ac:dyDescent="0.25"/>
    <row r="129" ht="13.2" customHeight="1" x14ac:dyDescent="0.25"/>
    <row r="130" ht="13.2" customHeight="1" x14ac:dyDescent="0.25"/>
    <row r="131" ht="13.2" customHeight="1" x14ac:dyDescent="0.25"/>
    <row r="132" ht="13.2" customHeight="1" x14ac:dyDescent="0.25"/>
    <row r="133" ht="13.2" customHeight="1" x14ac:dyDescent="0.25"/>
    <row r="134" ht="13.2" customHeight="1" x14ac:dyDescent="0.25"/>
    <row r="135" ht="13.2" customHeight="1" x14ac:dyDescent="0.25"/>
    <row r="136" ht="13.2" customHeight="1" x14ac:dyDescent="0.25"/>
    <row r="137" ht="13.2" customHeight="1" x14ac:dyDescent="0.25"/>
    <row r="138" ht="13.2" customHeight="1" x14ac:dyDescent="0.25"/>
    <row r="139" ht="13.2" customHeight="1" x14ac:dyDescent="0.25"/>
    <row r="140" ht="13.2" customHeight="1" x14ac:dyDescent="0.25"/>
    <row r="141" ht="13.2" customHeight="1" x14ac:dyDescent="0.25"/>
    <row r="142" ht="13.2" customHeight="1" x14ac:dyDescent="0.25"/>
    <row r="143" ht="13.2" customHeight="1" x14ac:dyDescent="0.25"/>
    <row r="144" ht="13.2" customHeight="1" x14ac:dyDescent="0.25"/>
    <row r="145" ht="13.2" customHeight="1" x14ac:dyDescent="0.25"/>
    <row r="146" ht="13.2" customHeight="1" x14ac:dyDescent="0.25"/>
    <row r="147" ht="13.2" customHeight="1" x14ac:dyDescent="0.25"/>
    <row r="148" ht="13.2" customHeight="1" x14ac:dyDescent="0.25"/>
    <row r="149" ht="13.2" customHeight="1" x14ac:dyDescent="0.25"/>
    <row r="150" ht="13.2" customHeight="1" x14ac:dyDescent="0.25"/>
    <row r="151" ht="13.2" customHeight="1" x14ac:dyDescent="0.25"/>
    <row r="152" ht="13.2" customHeight="1" x14ac:dyDescent="0.25"/>
    <row r="153" ht="13.2" customHeight="1" x14ac:dyDescent="0.25"/>
    <row r="154" ht="13.2" customHeight="1" x14ac:dyDescent="0.25"/>
    <row r="155" ht="13.2" customHeight="1" x14ac:dyDescent="0.25"/>
    <row r="156" ht="13.2" customHeight="1" x14ac:dyDescent="0.25"/>
    <row r="157" ht="13.2" customHeight="1" x14ac:dyDescent="0.25"/>
    <row r="158" ht="13.2" customHeight="1" x14ac:dyDescent="0.25"/>
    <row r="159" ht="13.2" customHeight="1" x14ac:dyDescent="0.25"/>
    <row r="160" ht="13.2" customHeight="1" x14ac:dyDescent="0.25"/>
    <row r="161" ht="13.2" customHeight="1" x14ac:dyDescent="0.25"/>
    <row r="162" ht="13.2" customHeight="1" x14ac:dyDescent="0.25"/>
    <row r="163" ht="13.2" customHeight="1" x14ac:dyDescent="0.25"/>
    <row r="164" ht="13.2" customHeight="1" x14ac:dyDescent="0.25"/>
    <row r="165" ht="13.2" customHeight="1" x14ac:dyDescent="0.25"/>
    <row r="166" ht="13.2" customHeight="1" x14ac:dyDescent="0.25"/>
    <row r="167" ht="13.2" customHeight="1" x14ac:dyDescent="0.25"/>
    <row r="168" ht="13.2" customHeight="1" x14ac:dyDescent="0.25"/>
    <row r="169" ht="13.2" customHeight="1" x14ac:dyDescent="0.25"/>
    <row r="170" ht="13.2" customHeight="1" x14ac:dyDescent="0.25"/>
    <row r="171" ht="13.2" customHeight="1" x14ac:dyDescent="0.25"/>
    <row r="172" ht="13.2" customHeight="1" x14ac:dyDescent="0.25"/>
    <row r="173" ht="13.2" customHeight="1" x14ac:dyDescent="0.25"/>
    <row r="174" ht="13.2" customHeight="1" x14ac:dyDescent="0.25"/>
    <row r="175" ht="13.2" customHeight="1" x14ac:dyDescent="0.25"/>
    <row r="176" ht="13.2" customHeight="1" x14ac:dyDescent="0.25"/>
    <row r="177" ht="13.2" customHeight="1" x14ac:dyDescent="0.25"/>
    <row r="178" ht="13.2" customHeight="1" x14ac:dyDescent="0.25"/>
    <row r="179" ht="13.2" customHeight="1" x14ac:dyDescent="0.25"/>
    <row r="180" ht="13.2" customHeight="1" x14ac:dyDescent="0.25"/>
    <row r="181" ht="13.2" customHeight="1" x14ac:dyDescent="0.25"/>
    <row r="182" ht="13.2" customHeight="1" x14ac:dyDescent="0.25"/>
    <row r="183" ht="13.2" customHeight="1" x14ac:dyDescent="0.25"/>
    <row r="184" ht="13.2" customHeight="1" x14ac:dyDescent="0.25"/>
    <row r="185" ht="13.2" customHeight="1" x14ac:dyDescent="0.25"/>
    <row r="186" ht="13.2" customHeight="1" x14ac:dyDescent="0.25"/>
    <row r="187" ht="13.2" customHeight="1" x14ac:dyDescent="0.25"/>
    <row r="188" ht="13.2" customHeight="1" x14ac:dyDescent="0.25"/>
    <row r="189" ht="13.2" customHeight="1" x14ac:dyDescent="0.25"/>
    <row r="190" ht="13.2" customHeight="1" x14ac:dyDescent="0.25"/>
    <row r="191" ht="13.2" customHeight="1" x14ac:dyDescent="0.25"/>
    <row r="192" ht="13.2" customHeight="1" x14ac:dyDescent="0.25"/>
    <row r="193" ht="13.2" customHeight="1" x14ac:dyDescent="0.25"/>
    <row r="194" ht="13.2" customHeight="1" x14ac:dyDescent="0.25"/>
    <row r="195" ht="13.2" customHeight="1" x14ac:dyDescent="0.25"/>
    <row r="196" ht="13.2" customHeight="1" x14ac:dyDescent="0.25"/>
    <row r="197" ht="13.2" customHeight="1" x14ac:dyDescent="0.25"/>
    <row r="198" ht="13.2" customHeight="1" x14ac:dyDescent="0.25"/>
    <row r="199" ht="13.2" customHeight="1" x14ac:dyDescent="0.25"/>
    <row r="200" ht="13.2" customHeight="1" x14ac:dyDescent="0.25"/>
    <row r="201" ht="13.2" customHeight="1" x14ac:dyDescent="0.25"/>
    <row r="202" ht="13.2" customHeight="1" x14ac:dyDescent="0.25"/>
    <row r="203" ht="13.2" customHeight="1" x14ac:dyDescent="0.25"/>
    <row r="204" ht="13.2" customHeight="1" x14ac:dyDescent="0.25"/>
    <row r="205" ht="13.2" customHeight="1" x14ac:dyDescent="0.25"/>
    <row r="206" ht="13.2" customHeight="1" x14ac:dyDescent="0.25"/>
    <row r="207" ht="13.2" customHeight="1" x14ac:dyDescent="0.25"/>
    <row r="208" ht="13.2" customHeight="1" x14ac:dyDescent="0.25"/>
    <row r="209" ht="13.2" customHeight="1" x14ac:dyDescent="0.25"/>
    <row r="210" ht="13.2" customHeight="1" x14ac:dyDescent="0.25"/>
    <row r="211" ht="13.2" customHeight="1" x14ac:dyDescent="0.25"/>
    <row r="212" ht="13.2" customHeight="1" x14ac:dyDescent="0.25"/>
    <row r="213" ht="13.2" customHeight="1" x14ac:dyDescent="0.25"/>
    <row r="214" ht="13.2" customHeight="1" x14ac:dyDescent="0.25"/>
    <row r="215" ht="13.2" customHeight="1" x14ac:dyDescent="0.25"/>
    <row r="216" ht="13.2" customHeight="1" x14ac:dyDescent="0.25"/>
    <row r="217" ht="13.2" customHeight="1" x14ac:dyDescent="0.25"/>
    <row r="218" ht="13.2" customHeight="1" x14ac:dyDescent="0.25"/>
    <row r="219" ht="13.2" customHeight="1" x14ac:dyDescent="0.25"/>
    <row r="220" ht="13.2" customHeight="1" x14ac:dyDescent="0.25"/>
    <row r="221" ht="13.2" customHeight="1" x14ac:dyDescent="0.25"/>
    <row r="222" ht="13.2" customHeight="1" x14ac:dyDescent="0.25"/>
    <row r="223" ht="13.2" customHeight="1" x14ac:dyDescent="0.25"/>
    <row r="224" ht="13.2" customHeight="1" x14ac:dyDescent="0.25"/>
    <row r="225" ht="13.2" customHeight="1" x14ac:dyDescent="0.25"/>
    <row r="226" ht="13.2" customHeight="1" x14ac:dyDescent="0.25"/>
    <row r="227" ht="13.2" customHeight="1" x14ac:dyDescent="0.25"/>
    <row r="228" ht="13.2" customHeight="1" x14ac:dyDescent="0.25"/>
    <row r="229" ht="13.2" customHeight="1" x14ac:dyDescent="0.25"/>
    <row r="230" ht="13.2" customHeight="1" x14ac:dyDescent="0.25"/>
    <row r="231" ht="13.2" customHeight="1" x14ac:dyDescent="0.25"/>
    <row r="232" ht="13.2" customHeight="1" x14ac:dyDescent="0.25"/>
    <row r="233" ht="13.2" customHeight="1" x14ac:dyDescent="0.25"/>
    <row r="234" ht="13.2" customHeight="1" x14ac:dyDescent="0.25"/>
    <row r="235" ht="13.2" customHeight="1" x14ac:dyDescent="0.25"/>
    <row r="236" ht="13.2" customHeight="1" x14ac:dyDescent="0.25"/>
    <row r="237" ht="13.2" customHeight="1" x14ac:dyDescent="0.25"/>
    <row r="238" ht="13.2" customHeight="1" x14ac:dyDescent="0.25"/>
    <row r="239" ht="13.2" customHeight="1" x14ac:dyDescent="0.25"/>
    <row r="240" ht="13.2" customHeight="1" x14ac:dyDescent="0.25"/>
    <row r="241" ht="13.2" customHeight="1" x14ac:dyDescent="0.25"/>
    <row r="242" ht="13.2" customHeight="1" x14ac:dyDescent="0.25"/>
    <row r="243" ht="13.2" customHeight="1" x14ac:dyDescent="0.25"/>
    <row r="244" ht="13.2" customHeight="1" x14ac:dyDescent="0.25"/>
    <row r="245" ht="13.2" customHeight="1" x14ac:dyDescent="0.25"/>
    <row r="246" ht="13.2" customHeight="1" x14ac:dyDescent="0.25"/>
    <row r="247" ht="13.2" customHeight="1" x14ac:dyDescent="0.25"/>
    <row r="248" ht="13.2" customHeight="1" x14ac:dyDescent="0.25"/>
    <row r="249" ht="13.2" customHeight="1" x14ac:dyDescent="0.25"/>
    <row r="250" ht="13.2" customHeight="1" x14ac:dyDescent="0.25"/>
    <row r="251" ht="13.2" customHeight="1" x14ac:dyDescent="0.25"/>
    <row r="252" ht="13.2" customHeight="1" x14ac:dyDescent="0.25"/>
    <row r="253" ht="13.2" customHeight="1" x14ac:dyDescent="0.25"/>
    <row r="254" ht="13.2" customHeight="1" x14ac:dyDescent="0.25"/>
    <row r="255" ht="13.2" customHeight="1" x14ac:dyDescent="0.25"/>
    <row r="256" ht="13.2" customHeight="1" x14ac:dyDescent="0.25"/>
    <row r="257" ht="13.2" customHeight="1" x14ac:dyDescent="0.25"/>
    <row r="258" ht="13.2" customHeight="1" x14ac:dyDescent="0.25"/>
    <row r="259" ht="13.2" customHeight="1" x14ac:dyDescent="0.25"/>
    <row r="260" ht="13.2" customHeight="1" x14ac:dyDescent="0.25"/>
    <row r="261" ht="13.2" customHeight="1" x14ac:dyDescent="0.25"/>
    <row r="262" ht="13.2" customHeight="1" x14ac:dyDescent="0.25"/>
    <row r="263" ht="13.2" customHeight="1" x14ac:dyDescent="0.25"/>
    <row r="264" ht="13.2" customHeight="1" x14ac:dyDescent="0.25"/>
    <row r="265" ht="13.2" customHeight="1" x14ac:dyDescent="0.25"/>
    <row r="266" ht="13.2" customHeight="1" x14ac:dyDescent="0.25"/>
    <row r="267" ht="13.2" customHeight="1" x14ac:dyDescent="0.25"/>
    <row r="268" ht="13.2" customHeight="1" x14ac:dyDescent="0.25"/>
    <row r="269" ht="13.2" customHeight="1" x14ac:dyDescent="0.25"/>
    <row r="270" ht="13.2" customHeight="1" x14ac:dyDescent="0.25"/>
    <row r="271" ht="13.2" customHeight="1" x14ac:dyDescent="0.25"/>
    <row r="272" ht="13.2" customHeight="1" x14ac:dyDescent="0.25"/>
    <row r="273" ht="13.2" customHeight="1" x14ac:dyDescent="0.25"/>
    <row r="274" ht="13.2" customHeight="1" x14ac:dyDescent="0.25"/>
    <row r="275" ht="13.2" customHeight="1" x14ac:dyDescent="0.25"/>
    <row r="276" ht="13.2" customHeight="1" x14ac:dyDescent="0.25"/>
    <row r="277" ht="13.2" customHeight="1" x14ac:dyDescent="0.25"/>
    <row r="278" ht="13.2" customHeight="1" x14ac:dyDescent="0.25"/>
    <row r="279" ht="13.2" customHeight="1" x14ac:dyDescent="0.25"/>
    <row r="280" ht="13.2" customHeight="1" x14ac:dyDescent="0.25"/>
    <row r="281" ht="13.2" customHeight="1" x14ac:dyDescent="0.25"/>
    <row r="282" ht="13.2" customHeight="1" x14ac:dyDescent="0.25"/>
    <row r="283" ht="13.2" customHeight="1" x14ac:dyDescent="0.25"/>
    <row r="284" ht="13.2" customHeight="1" x14ac:dyDescent="0.25"/>
    <row r="285" ht="13.2" customHeight="1" x14ac:dyDescent="0.25"/>
    <row r="286" ht="13.2" customHeight="1" x14ac:dyDescent="0.25"/>
    <row r="287" ht="13.2" customHeight="1" x14ac:dyDescent="0.25"/>
    <row r="288" ht="13.2" customHeight="1" x14ac:dyDescent="0.25"/>
    <row r="289" ht="13.2" customHeight="1" x14ac:dyDescent="0.25"/>
    <row r="290" ht="13.2" customHeight="1" x14ac:dyDescent="0.25"/>
    <row r="291" ht="13.2" customHeight="1" x14ac:dyDescent="0.25"/>
    <row r="292" ht="13.2" customHeight="1" x14ac:dyDescent="0.25"/>
    <row r="293" ht="13.2" customHeight="1" x14ac:dyDescent="0.25"/>
    <row r="294" ht="13.2" customHeight="1" x14ac:dyDescent="0.25"/>
    <row r="295" ht="13.2" customHeight="1" x14ac:dyDescent="0.25"/>
    <row r="296" ht="13.2" customHeight="1" x14ac:dyDescent="0.25"/>
    <row r="297" ht="13.2" customHeight="1" x14ac:dyDescent="0.25"/>
    <row r="298" ht="13.2" customHeight="1" x14ac:dyDescent="0.25"/>
    <row r="299" ht="13.2" customHeight="1" x14ac:dyDescent="0.25"/>
    <row r="300" ht="13.2" customHeight="1" x14ac:dyDescent="0.25"/>
    <row r="301" ht="13.2" customHeight="1" x14ac:dyDescent="0.25"/>
    <row r="302" ht="13.2" customHeight="1" x14ac:dyDescent="0.25"/>
    <row r="303" ht="13.2" customHeight="1" x14ac:dyDescent="0.25"/>
    <row r="304" ht="13.2" customHeight="1" x14ac:dyDescent="0.25"/>
    <row r="305" ht="13.2" customHeight="1" x14ac:dyDescent="0.25"/>
    <row r="306" ht="13.2" customHeight="1" x14ac:dyDescent="0.25"/>
    <row r="307" ht="13.2" customHeight="1" x14ac:dyDescent="0.25"/>
    <row r="308" ht="13.2" customHeight="1" x14ac:dyDescent="0.25"/>
    <row r="309" ht="13.2" customHeight="1" x14ac:dyDescent="0.25"/>
    <row r="310" ht="13.2" customHeight="1" x14ac:dyDescent="0.25"/>
    <row r="311" ht="13.2" customHeight="1" x14ac:dyDescent="0.25"/>
    <row r="312" ht="13.2" customHeight="1" x14ac:dyDescent="0.25"/>
    <row r="313" ht="13.2" customHeight="1" x14ac:dyDescent="0.25"/>
    <row r="314" ht="13.2" customHeight="1" x14ac:dyDescent="0.25"/>
    <row r="315" ht="13.2" customHeight="1" x14ac:dyDescent="0.25"/>
    <row r="316" ht="13.2" customHeight="1" x14ac:dyDescent="0.25"/>
    <row r="317" ht="13.2" customHeight="1" x14ac:dyDescent="0.25"/>
    <row r="318" ht="13.2" customHeight="1" x14ac:dyDescent="0.25"/>
    <row r="319" ht="13.2" customHeight="1" x14ac:dyDescent="0.25"/>
    <row r="320" ht="13.2" customHeight="1" x14ac:dyDescent="0.25"/>
    <row r="321" ht="13.2" customHeight="1" x14ac:dyDescent="0.25"/>
    <row r="322" ht="13.2" customHeight="1" x14ac:dyDescent="0.25"/>
    <row r="323" ht="13.2" customHeight="1" x14ac:dyDescent="0.25"/>
    <row r="324" ht="13.2" customHeight="1" x14ac:dyDescent="0.25"/>
    <row r="325" ht="13.2" customHeight="1" x14ac:dyDescent="0.25"/>
    <row r="326" ht="13.2" customHeight="1" x14ac:dyDescent="0.25"/>
    <row r="327" ht="13.2" customHeight="1" x14ac:dyDescent="0.25"/>
    <row r="328" ht="13.2" customHeight="1" x14ac:dyDescent="0.25"/>
    <row r="329" ht="13.2" customHeight="1" x14ac:dyDescent="0.25"/>
    <row r="330" ht="13.2" customHeight="1" x14ac:dyDescent="0.25"/>
    <row r="331" ht="13.2" customHeight="1" x14ac:dyDescent="0.25"/>
    <row r="332" ht="13.2" customHeight="1" x14ac:dyDescent="0.25"/>
    <row r="333" ht="13.2" customHeight="1" x14ac:dyDescent="0.25"/>
    <row r="334" ht="13.2" customHeight="1" x14ac:dyDescent="0.25"/>
    <row r="335" ht="13.2" customHeight="1" x14ac:dyDescent="0.25"/>
    <row r="336" ht="13.2" customHeight="1" x14ac:dyDescent="0.25"/>
    <row r="337" ht="13.2" customHeight="1" x14ac:dyDescent="0.25"/>
    <row r="338" ht="13.2" customHeight="1" x14ac:dyDescent="0.25"/>
    <row r="339" ht="13.2" customHeight="1" x14ac:dyDescent="0.25"/>
    <row r="340" ht="13.2" customHeight="1" x14ac:dyDescent="0.25"/>
    <row r="341" ht="13.2" customHeight="1" x14ac:dyDescent="0.25"/>
    <row r="342" ht="13.2" customHeight="1" x14ac:dyDescent="0.25"/>
    <row r="343" ht="13.2" customHeight="1" x14ac:dyDescent="0.25"/>
    <row r="344" ht="13.2" customHeight="1" x14ac:dyDescent="0.25"/>
    <row r="345" ht="13.2" customHeight="1" x14ac:dyDescent="0.25"/>
    <row r="346" ht="13.2" customHeight="1" x14ac:dyDescent="0.25"/>
    <row r="347" ht="13.2" customHeight="1" x14ac:dyDescent="0.25"/>
    <row r="348" ht="13.2" customHeight="1" x14ac:dyDescent="0.25"/>
    <row r="349" ht="13.2" customHeight="1" x14ac:dyDescent="0.25"/>
    <row r="350" ht="13.2" customHeight="1" x14ac:dyDescent="0.25"/>
    <row r="351" ht="13.2" customHeight="1" x14ac:dyDescent="0.25"/>
    <row r="352" ht="13.2" customHeight="1" x14ac:dyDescent="0.25"/>
    <row r="353" ht="13.2" customHeight="1" x14ac:dyDescent="0.25"/>
    <row r="354" ht="13.2" customHeight="1" x14ac:dyDescent="0.25"/>
    <row r="355" ht="13.2" customHeight="1" x14ac:dyDescent="0.25"/>
    <row r="356" ht="13.2" customHeight="1" x14ac:dyDescent="0.25"/>
    <row r="357" ht="13.2" customHeight="1" x14ac:dyDescent="0.25"/>
    <row r="358" ht="13.2" customHeight="1" x14ac:dyDescent="0.25"/>
    <row r="359" ht="13.2" customHeight="1" x14ac:dyDescent="0.25"/>
    <row r="360" ht="13.2" customHeight="1" x14ac:dyDescent="0.25"/>
    <row r="361" ht="13.2" customHeight="1" x14ac:dyDescent="0.25"/>
    <row r="362" ht="13.2" customHeight="1" x14ac:dyDescent="0.25"/>
    <row r="363" ht="13.2" customHeight="1" x14ac:dyDescent="0.25"/>
    <row r="364" ht="13.2" customHeight="1" x14ac:dyDescent="0.25"/>
    <row r="365" ht="13.2" customHeight="1" x14ac:dyDescent="0.25"/>
    <row r="366" ht="13.2" customHeight="1" x14ac:dyDescent="0.25"/>
    <row r="367" ht="13.2" customHeight="1" x14ac:dyDescent="0.25"/>
    <row r="368" ht="13.2" customHeight="1" x14ac:dyDescent="0.25"/>
    <row r="369" ht="13.2" customHeight="1" x14ac:dyDescent="0.25"/>
    <row r="370" ht="13.2" customHeight="1" x14ac:dyDescent="0.25"/>
    <row r="371" ht="13.2" customHeight="1" x14ac:dyDescent="0.25"/>
    <row r="372" ht="13.2" customHeight="1" x14ac:dyDescent="0.25"/>
    <row r="373" ht="13.2" customHeight="1" x14ac:dyDescent="0.25"/>
    <row r="374" ht="13.2" customHeight="1" x14ac:dyDescent="0.25"/>
    <row r="375" ht="13.2" customHeight="1" x14ac:dyDescent="0.25"/>
    <row r="376" ht="13.2" customHeight="1" x14ac:dyDescent="0.25"/>
    <row r="377" ht="13.2" customHeight="1" x14ac:dyDescent="0.25"/>
    <row r="378" ht="13.2" customHeight="1" x14ac:dyDescent="0.25"/>
    <row r="379" ht="13.2" customHeight="1" x14ac:dyDescent="0.25"/>
    <row r="380" ht="13.2" customHeight="1" x14ac:dyDescent="0.25"/>
    <row r="381" ht="13.2" customHeight="1" x14ac:dyDescent="0.25"/>
    <row r="382" ht="13.2" customHeight="1" x14ac:dyDescent="0.25"/>
    <row r="383" ht="13.2" customHeight="1" x14ac:dyDescent="0.25"/>
    <row r="384" ht="13.2" customHeight="1" x14ac:dyDescent="0.25"/>
    <row r="385" ht="13.2" customHeight="1" x14ac:dyDescent="0.25"/>
    <row r="386" ht="13.2" customHeight="1" x14ac:dyDescent="0.25"/>
    <row r="387" ht="13.2" customHeight="1" x14ac:dyDescent="0.25"/>
    <row r="388" ht="13.2" customHeight="1" x14ac:dyDescent="0.25"/>
    <row r="389" ht="13.2" customHeight="1" x14ac:dyDescent="0.25"/>
    <row r="390" ht="13.2" customHeight="1" x14ac:dyDescent="0.25"/>
    <row r="391" ht="13.2" customHeight="1" x14ac:dyDescent="0.25"/>
    <row r="392" ht="13.2" customHeight="1" x14ac:dyDescent="0.25"/>
    <row r="393" ht="13.2" customHeight="1" x14ac:dyDescent="0.25"/>
    <row r="394" ht="13.2" customHeight="1" x14ac:dyDescent="0.25"/>
    <row r="395" ht="13.2" customHeight="1" x14ac:dyDescent="0.25"/>
    <row r="396" ht="13.2" customHeight="1" x14ac:dyDescent="0.25"/>
    <row r="397" ht="13.2" customHeight="1" x14ac:dyDescent="0.25"/>
    <row r="398" ht="13.2" customHeight="1" x14ac:dyDescent="0.25"/>
    <row r="399" ht="13.2" customHeight="1" x14ac:dyDescent="0.25"/>
    <row r="400" ht="13.2" customHeight="1" x14ac:dyDescent="0.25"/>
    <row r="401" ht="13.2" customHeight="1" x14ac:dyDescent="0.25"/>
    <row r="402" ht="13.2" customHeight="1" x14ac:dyDescent="0.25"/>
    <row r="403" ht="13.2" customHeight="1" x14ac:dyDescent="0.25"/>
    <row r="404" ht="13.2" customHeight="1" x14ac:dyDescent="0.25"/>
    <row r="405" ht="13.2" customHeight="1" x14ac:dyDescent="0.25"/>
    <row r="406" ht="13.2" customHeight="1" x14ac:dyDescent="0.25"/>
    <row r="407" ht="13.2" customHeight="1" x14ac:dyDescent="0.25"/>
    <row r="408" ht="13.2" customHeight="1" x14ac:dyDescent="0.25"/>
    <row r="409" ht="13.2" customHeight="1" x14ac:dyDescent="0.25"/>
    <row r="410" ht="13.2" customHeight="1" x14ac:dyDescent="0.25"/>
    <row r="411" ht="13.2" customHeight="1" x14ac:dyDescent="0.25"/>
    <row r="412" ht="13.2" customHeight="1" x14ac:dyDescent="0.25"/>
    <row r="413" ht="13.2" customHeight="1" x14ac:dyDescent="0.25"/>
    <row r="414" ht="13.2" customHeight="1" x14ac:dyDescent="0.25"/>
    <row r="415" ht="13.2" customHeight="1" x14ac:dyDescent="0.25"/>
    <row r="416" ht="13.2" customHeight="1" x14ac:dyDescent="0.25"/>
    <row r="417" ht="13.2" customHeight="1" x14ac:dyDescent="0.25"/>
    <row r="418" ht="13.2" customHeight="1" x14ac:dyDescent="0.25"/>
    <row r="419" ht="13.2" customHeight="1" x14ac:dyDescent="0.25"/>
    <row r="420" ht="13.2" customHeight="1" x14ac:dyDescent="0.25"/>
    <row r="421" ht="13.2" customHeight="1" x14ac:dyDescent="0.25"/>
    <row r="422" ht="13.2" customHeight="1" x14ac:dyDescent="0.25"/>
    <row r="423" ht="13.2" customHeight="1" x14ac:dyDescent="0.25"/>
    <row r="424" ht="13.2" customHeight="1" x14ac:dyDescent="0.25"/>
    <row r="425" ht="13.2" customHeight="1" x14ac:dyDescent="0.25"/>
    <row r="426" ht="13.2" customHeight="1" x14ac:dyDescent="0.25"/>
    <row r="427" ht="13.2" customHeight="1" x14ac:dyDescent="0.25"/>
    <row r="428" ht="13.2" customHeight="1" x14ac:dyDescent="0.25"/>
    <row r="429" ht="13.2" customHeight="1" x14ac:dyDescent="0.25"/>
    <row r="430" ht="13.2" customHeight="1" x14ac:dyDescent="0.25"/>
    <row r="431" ht="13.2" customHeight="1" x14ac:dyDescent="0.25"/>
    <row r="432" ht="13.2" customHeight="1" x14ac:dyDescent="0.25"/>
    <row r="433" ht="13.2" customHeight="1" x14ac:dyDescent="0.25"/>
    <row r="434" ht="13.2" customHeight="1" x14ac:dyDescent="0.25"/>
    <row r="435" ht="13.2" customHeight="1" x14ac:dyDescent="0.25"/>
    <row r="436" ht="13.2" customHeight="1" x14ac:dyDescent="0.25"/>
    <row r="437" ht="13.2" customHeight="1" x14ac:dyDescent="0.25"/>
    <row r="438" ht="13.2" customHeight="1" x14ac:dyDescent="0.25"/>
    <row r="439" ht="13.2" customHeight="1" x14ac:dyDescent="0.25"/>
    <row r="440" ht="13.2" customHeight="1" x14ac:dyDescent="0.25"/>
    <row r="441" ht="13.2" customHeight="1" x14ac:dyDescent="0.25"/>
    <row r="442" ht="13.2" customHeight="1" x14ac:dyDescent="0.25"/>
    <row r="443" ht="13.2" customHeight="1" x14ac:dyDescent="0.25"/>
    <row r="444" ht="13.2" customHeight="1" x14ac:dyDescent="0.25"/>
    <row r="445" ht="13.2" customHeight="1" x14ac:dyDescent="0.25"/>
    <row r="446" ht="13.2" customHeight="1" x14ac:dyDescent="0.25"/>
    <row r="447" ht="13.2" customHeight="1" x14ac:dyDescent="0.25"/>
    <row r="448" ht="13.2" customHeight="1" x14ac:dyDescent="0.25"/>
    <row r="449" ht="13.2" customHeight="1" x14ac:dyDescent="0.25"/>
    <row r="450" ht="13.2" customHeight="1" x14ac:dyDescent="0.25"/>
    <row r="451" ht="13.2" customHeight="1" x14ac:dyDescent="0.25"/>
    <row r="452" ht="13.2" customHeight="1" x14ac:dyDescent="0.25"/>
    <row r="453" ht="13.2" customHeight="1" x14ac:dyDescent="0.25"/>
    <row r="454" ht="13.2" customHeight="1" x14ac:dyDescent="0.25"/>
    <row r="455" ht="13.2" customHeight="1" x14ac:dyDescent="0.25"/>
    <row r="456" ht="13.2" customHeight="1" x14ac:dyDescent="0.25"/>
    <row r="457" ht="13.2" customHeight="1" x14ac:dyDescent="0.25"/>
    <row r="458" ht="13.2" customHeight="1" x14ac:dyDescent="0.25"/>
    <row r="459" ht="13.2" customHeight="1" x14ac:dyDescent="0.25"/>
    <row r="460" ht="13.2" customHeight="1" x14ac:dyDescent="0.25"/>
    <row r="461" ht="13.2" customHeight="1" x14ac:dyDescent="0.25"/>
    <row r="462" ht="13.2" customHeight="1" x14ac:dyDescent="0.25"/>
    <row r="463" ht="13.2" customHeight="1" x14ac:dyDescent="0.25"/>
    <row r="464" ht="13.2" customHeight="1" x14ac:dyDescent="0.25"/>
    <row r="465" ht="13.2" customHeight="1" x14ac:dyDescent="0.25"/>
    <row r="466" ht="13.2" customHeight="1" x14ac:dyDescent="0.25"/>
    <row r="467" ht="13.2" customHeight="1" x14ac:dyDescent="0.25"/>
    <row r="468" ht="13.2" customHeight="1" x14ac:dyDescent="0.25"/>
    <row r="469" ht="13.2" customHeight="1" x14ac:dyDescent="0.25"/>
    <row r="470" ht="13.2" customHeight="1" x14ac:dyDescent="0.25"/>
    <row r="471" ht="13.2" customHeight="1" x14ac:dyDescent="0.25"/>
    <row r="472" ht="13.2" customHeight="1" x14ac:dyDescent="0.25"/>
    <row r="473" ht="13.2" customHeight="1" x14ac:dyDescent="0.25"/>
    <row r="474" ht="13.2" customHeight="1" x14ac:dyDescent="0.25"/>
    <row r="475" ht="13.2" customHeight="1" x14ac:dyDescent="0.25"/>
    <row r="476" ht="13.2" customHeight="1" x14ac:dyDescent="0.25"/>
    <row r="477" ht="13.2" customHeight="1" x14ac:dyDescent="0.25"/>
    <row r="478" ht="13.2" customHeight="1" x14ac:dyDescent="0.25"/>
    <row r="479" ht="13.2" customHeight="1" x14ac:dyDescent="0.25"/>
    <row r="480" ht="13.2" customHeight="1" x14ac:dyDescent="0.25"/>
    <row r="481" ht="13.2" customHeight="1" x14ac:dyDescent="0.25"/>
    <row r="482" ht="13.2" customHeight="1" x14ac:dyDescent="0.25"/>
    <row r="483" ht="13.2" customHeight="1" x14ac:dyDescent="0.25"/>
    <row r="484" ht="13.2" customHeight="1" x14ac:dyDescent="0.25"/>
    <row r="485" ht="13.2" customHeight="1" x14ac:dyDescent="0.25"/>
    <row r="486" ht="13.2" customHeight="1" x14ac:dyDescent="0.25"/>
    <row r="487" ht="13.2" customHeight="1" x14ac:dyDescent="0.25"/>
    <row r="488" ht="13.2" customHeight="1" x14ac:dyDescent="0.25"/>
    <row r="489" ht="13.2" customHeight="1" x14ac:dyDescent="0.25"/>
    <row r="490" ht="13.2" customHeight="1" x14ac:dyDescent="0.25"/>
    <row r="491" ht="13.2" customHeight="1" x14ac:dyDescent="0.25"/>
    <row r="492" ht="13.2" customHeight="1" x14ac:dyDescent="0.25"/>
    <row r="493" ht="13.2" customHeight="1" x14ac:dyDescent="0.25"/>
    <row r="494" ht="13.2" customHeight="1" x14ac:dyDescent="0.25"/>
    <row r="495" ht="13.2" customHeight="1" x14ac:dyDescent="0.25"/>
    <row r="496" ht="13.2" customHeight="1" x14ac:dyDescent="0.25"/>
    <row r="497" ht="13.2" customHeight="1" x14ac:dyDescent="0.25"/>
    <row r="498" ht="13.2" customHeight="1" x14ac:dyDescent="0.25"/>
    <row r="499" ht="13.2" customHeight="1" x14ac:dyDescent="0.25"/>
    <row r="500" ht="13.2" customHeight="1" x14ac:dyDescent="0.25"/>
    <row r="501" ht="13.2" customHeight="1" x14ac:dyDescent="0.25"/>
    <row r="502" ht="13.2" customHeight="1" x14ac:dyDescent="0.25"/>
    <row r="503" ht="13.2" customHeight="1" x14ac:dyDescent="0.25"/>
    <row r="504" ht="13.2" customHeight="1" x14ac:dyDescent="0.25"/>
    <row r="505" ht="13.2" customHeight="1" x14ac:dyDescent="0.25"/>
    <row r="506" ht="13.2" customHeight="1" x14ac:dyDescent="0.25"/>
    <row r="507" ht="13.2" customHeight="1" x14ac:dyDescent="0.25"/>
    <row r="508" ht="13.2" customHeight="1" x14ac:dyDescent="0.25"/>
    <row r="509" ht="13.2" customHeight="1" x14ac:dyDescent="0.25"/>
    <row r="510" ht="13.2" customHeight="1" x14ac:dyDescent="0.25"/>
    <row r="511" ht="13.2" customHeight="1" x14ac:dyDescent="0.25"/>
    <row r="512" ht="13.2" customHeight="1" x14ac:dyDescent="0.25"/>
    <row r="513" ht="13.2" customHeight="1" x14ac:dyDescent="0.25"/>
    <row r="514" ht="13.2" customHeight="1" x14ac:dyDescent="0.25"/>
    <row r="515" ht="13.2" customHeight="1" x14ac:dyDescent="0.25"/>
    <row r="516" ht="13.2" customHeight="1" x14ac:dyDescent="0.25"/>
    <row r="517" ht="13.2" customHeight="1" x14ac:dyDescent="0.25"/>
    <row r="518" ht="13.2" customHeight="1" x14ac:dyDescent="0.25"/>
    <row r="519" ht="13.2" customHeight="1" x14ac:dyDescent="0.25"/>
    <row r="520" ht="13.2" customHeight="1" x14ac:dyDescent="0.25"/>
    <row r="521" ht="13.2" customHeight="1" x14ac:dyDescent="0.25"/>
    <row r="522" ht="13.2" customHeight="1" x14ac:dyDescent="0.25"/>
    <row r="523" ht="13.2" customHeight="1" x14ac:dyDescent="0.25"/>
    <row r="524" ht="13.2" customHeight="1" x14ac:dyDescent="0.25"/>
    <row r="525" ht="13.2" customHeight="1" x14ac:dyDescent="0.25"/>
    <row r="526" ht="13.2" customHeight="1" x14ac:dyDescent="0.25"/>
    <row r="527" ht="13.2" customHeight="1" x14ac:dyDescent="0.25"/>
    <row r="528" ht="13.2" customHeight="1" x14ac:dyDescent="0.25"/>
    <row r="529" ht="13.2" customHeight="1" x14ac:dyDescent="0.25"/>
    <row r="530" ht="13.2" customHeight="1" x14ac:dyDescent="0.25"/>
    <row r="531" ht="13.2" customHeight="1" x14ac:dyDescent="0.25"/>
    <row r="532" ht="13.2" customHeight="1" x14ac:dyDescent="0.25"/>
    <row r="533" ht="13.2" customHeight="1" x14ac:dyDescent="0.25"/>
    <row r="534" ht="13.2" customHeight="1" x14ac:dyDescent="0.25"/>
    <row r="535" ht="13.2" customHeight="1" x14ac:dyDescent="0.25"/>
    <row r="536" ht="13.2" customHeight="1" x14ac:dyDescent="0.25"/>
    <row r="537" ht="13.2" customHeight="1" x14ac:dyDescent="0.25"/>
    <row r="538" ht="13.2" customHeight="1" x14ac:dyDescent="0.25"/>
    <row r="539" ht="13.2" customHeight="1" x14ac:dyDescent="0.25"/>
    <row r="540" ht="13.2" customHeight="1" x14ac:dyDescent="0.25"/>
    <row r="541" ht="13.2" customHeight="1" x14ac:dyDescent="0.25"/>
    <row r="542" ht="13.2" customHeight="1" x14ac:dyDescent="0.25"/>
    <row r="543" ht="13.2" customHeight="1" x14ac:dyDescent="0.25"/>
    <row r="544" ht="13.2" customHeight="1" x14ac:dyDescent="0.25"/>
    <row r="545" ht="13.2" customHeight="1" x14ac:dyDescent="0.25"/>
    <row r="546" ht="13.2" customHeight="1" x14ac:dyDescent="0.25"/>
    <row r="547" ht="13.2" customHeight="1" x14ac:dyDescent="0.25"/>
    <row r="548" ht="13.2" customHeight="1" x14ac:dyDescent="0.25"/>
    <row r="549" ht="13.2" customHeight="1" x14ac:dyDescent="0.25"/>
    <row r="550" ht="13.2" customHeight="1" x14ac:dyDescent="0.25"/>
    <row r="551" ht="13.2" customHeight="1" x14ac:dyDescent="0.25"/>
    <row r="552" ht="13.2" customHeight="1" x14ac:dyDescent="0.25"/>
    <row r="553" ht="13.2" customHeight="1" x14ac:dyDescent="0.25"/>
    <row r="554" ht="13.2" customHeight="1" x14ac:dyDescent="0.25"/>
    <row r="555" ht="13.2" customHeight="1" x14ac:dyDescent="0.25"/>
    <row r="556" ht="13.2" customHeight="1" x14ac:dyDescent="0.25"/>
    <row r="557" ht="13.2" customHeight="1" x14ac:dyDescent="0.25"/>
    <row r="558" ht="13.2" customHeight="1" x14ac:dyDescent="0.25"/>
    <row r="559" ht="13.2" customHeight="1" x14ac:dyDescent="0.25"/>
    <row r="560" ht="13.2" customHeight="1" x14ac:dyDescent="0.25"/>
    <row r="561" ht="13.2" customHeight="1" x14ac:dyDescent="0.25"/>
    <row r="562" ht="13.2" customHeight="1" x14ac:dyDescent="0.25"/>
    <row r="563" ht="13.2" customHeight="1" x14ac:dyDescent="0.25"/>
    <row r="564" ht="13.2" customHeight="1" x14ac:dyDescent="0.25"/>
    <row r="565" ht="13.2" customHeight="1" x14ac:dyDescent="0.25"/>
    <row r="566" ht="13.2" customHeight="1" x14ac:dyDescent="0.25"/>
    <row r="567" ht="13.2" customHeight="1" x14ac:dyDescent="0.25"/>
    <row r="568" ht="13.2" customHeight="1" x14ac:dyDescent="0.25"/>
    <row r="569" ht="13.2" customHeight="1" x14ac:dyDescent="0.25"/>
    <row r="570" ht="13.2" customHeight="1" x14ac:dyDescent="0.25"/>
    <row r="571" ht="13.2" customHeight="1" x14ac:dyDescent="0.25"/>
    <row r="572" ht="13.2" customHeight="1" x14ac:dyDescent="0.25"/>
    <row r="573" ht="13.2" customHeight="1" x14ac:dyDescent="0.25"/>
    <row r="574" ht="13.2" customHeight="1" x14ac:dyDescent="0.25"/>
    <row r="575" ht="13.2" customHeight="1" x14ac:dyDescent="0.25"/>
    <row r="576" ht="13.2" customHeight="1" x14ac:dyDescent="0.25"/>
    <row r="577" ht="13.2" customHeight="1" x14ac:dyDescent="0.25"/>
    <row r="578" ht="13.2" customHeight="1" x14ac:dyDescent="0.25"/>
    <row r="579" ht="13.2" customHeight="1" x14ac:dyDescent="0.25"/>
    <row r="580" ht="13.2" customHeight="1" x14ac:dyDescent="0.25"/>
    <row r="581" ht="13.2" customHeight="1" x14ac:dyDescent="0.25"/>
    <row r="582" ht="13.2" customHeight="1" x14ac:dyDescent="0.25"/>
    <row r="583" ht="13.2" customHeight="1" x14ac:dyDescent="0.25"/>
    <row r="584" ht="13.2" customHeight="1" x14ac:dyDescent="0.25"/>
    <row r="585" ht="13.2" customHeight="1" x14ac:dyDescent="0.25"/>
    <row r="586" ht="13.2" customHeight="1" x14ac:dyDescent="0.25"/>
    <row r="587" ht="13.2" customHeight="1" x14ac:dyDescent="0.25"/>
    <row r="588" ht="13.2" customHeight="1" x14ac:dyDescent="0.25"/>
    <row r="589" ht="13.2" customHeight="1" x14ac:dyDescent="0.25"/>
    <row r="590" ht="13.2" customHeight="1" x14ac:dyDescent="0.25"/>
    <row r="591" ht="13.2" customHeight="1" x14ac:dyDescent="0.25"/>
    <row r="592" ht="13.2" customHeight="1" x14ac:dyDescent="0.25"/>
    <row r="593" ht="13.2" customHeight="1" x14ac:dyDescent="0.25"/>
    <row r="594" ht="13.2" customHeight="1" x14ac:dyDescent="0.25"/>
    <row r="595" ht="13.2" customHeight="1" x14ac:dyDescent="0.25"/>
    <row r="596" ht="13.2" customHeight="1" x14ac:dyDescent="0.25"/>
    <row r="597" ht="13.2" customHeight="1" x14ac:dyDescent="0.25"/>
    <row r="598" ht="13.2" customHeight="1" x14ac:dyDescent="0.25"/>
    <row r="599" ht="13.2" customHeight="1" x14ac:dyDescent="0.25"/>
    <row r="600" ht="13.2" customHeight="1" x14ac:dyDescent="0.25"/>
    <row r="601" ht="13.2" customHeight="1" x14ac:dyDescent="0.25"/>
    <row r="602" ht="13.2" customHeight="1" x14ac:dyDescent="0.25"/>
    <row r="603" ht="13.2" customHeight="1" x14ac:dyDescent="0.25"/>
    <row r="604" ht="13.2" customHeight="1" x14ac:dyDescent="0.25"/>
    <row r="605" ht="13.2" customHeight="1" x14ac:dyDescent="0.25"/>
    <row r="606" ht="13.2" customHeight="1" x14ac:dyDescent="0.25"/>
    <row r="607" ht="13.2" customHeight="1" x14ac:dyDescent="0.25"/>
    <row r="608" ht="13.2" customHeight="1" x14ac:dyDescent="0.25"/>
    <row r="609" ht="13.2" customHeight="1" x14ac:dyDescent="0.25"/>
    <row r="610" ht="13.2" customHeight="1" x14ac:dyDescent="0.25"/>
    <row r="611" ht="13.2" customHeight="1" x14ac:dyDescent="0.25"/>
    <row r="612" ht="13.2" customHeight="1" x14ac:dyDescent="0.25"/>
    <row r="613" ht="13.2" customHeight="1" x14ac:dyDescent="0.25"/>
    <row r="614" ht="13.2" customHeight="1" x14ac:dyDescent="0.25"/>
    <row r="615" ht="13.2" customHeight="1" x14ac:dyDescent="0.25"/>
    <row r="616" ht="13.2" customHeight="1" x14ac:dyDescent="0.25"/>
    <row r="617" ht="13.2" customHeight="1" x14ac:dyDescent="0.25"/>
    <row r="618" ht="13.2" customHeight="1" x14ac:dyDescent="0.25"/>
    <row r="619" ht="13.2" customHeight="1" x14ac:dyDescent="0.25"/>
    <row r="620" ht="13.2" customHeight="1" x14ac:dyDescent="0.25"/>
    <row r="621" ht="13.2" customHeight="1" x14ac:dyDescent="0.25"/>
    <row r="622" ht="13.2" customHeight="1" x14ac:dyDescent="0.25"/>
    <row r="623" ht="13.2" customHeight="1" x14ac:dyDescent="0.25"/>
    <row r="624" ht="13.2" customHeight="1" x14ac:dyDescent="0.25"/>
    <row r="625" ht="13.2" customHeight="1" x14ac:dyDescent="0.25"/>
    <row r="626" ht="13.2" customHeight="1" x14ac:dyDescent="0.25"/>
    <row r="627" ht="13.2" customHeight="1" x14ac:dyDescent="0.25"/>
    <row r="628" ht="13.2" customHeight="1" x14ac:dyDescent="0.25"/>
    <row r="629" ht="13.2" customHeight="1" x14ac:dyDescent="0.25"/>
    <row r="630" ht="13.2" customHeight="1" x14ac:dyDescent="0.25"/>
    <row r="631" ht="13.2" customHeight="1" x14ac:dyDescent="0.25"/>
    <row r="632" ht="13.2" customHeight="1" x14ac:dyDescent="0.25"/>
    <row r="633" ht="13.2" customHeight="1" x14ac:dyDescent="0.25"/>
    <row r="634" ht="13.2" customHeight="1" x14ac:dyDescent="0.25"/>
    <row r="635" ht="13.2" customHeight="1" x14ac:dyDescent="0.25"/>
    <row r="636" ht="13.2" customHeight="1" x14ac:dyDescent="0.25"/>
    <row r="637" ht="13.2" customHeight="1" x14ac:dyDescent="0.25"/>
    <row r="638" ht="13.2" customHeight="1" x14ac:dyDescent="0.25"/>
    <row r="639" ht="13.2" customHeight="1" x14ac:dyDescent="0.25"/>
    <row r="640" ht="13.2" customHeight="1" x14ac:dyDescent="0.25"/>
    <row r="641" ht="13.2" customHeight="1" x14ac:dyDescent="0.25"/>
    <row r="642" ht="13.2" customHeight="1" x14ac:dyDescent="0.25"/>
    <row r="643" ht="13.2" customHeight="1" x14ac:dyDescent="0.25"/>
    <row r="644" ht="13.2" customHeight="1" x14ac:dyDescent="0.25"/>
    <row r="645" ht="13.2" customHeight="1" x14ac:dyDescent="0.25"/>
    <row r="646" ht="13.2" customHeight="1" x14ac:dyDescent="0.25"/>
    <row r="647" ht="13.2" customHeight="1" x14ac:dyDescent="0.25"/>
    <row r="648" ht="13.2" customHeight="1" x14ac:dyDescent="0.25"/>
    <row r="649" ht="13.2" customHeight="1" x14ac:dyDescent="0.25"/>
    <row r="650" ht="13.2" customHeight="1" x14ac:dyDescent="0.25"/>
    <row r="651" ht="13.2" customHeight="1" x14ac:dyDescent="0.25"/>
    <row r="652" ht="13.2" customHeight="1" x14ac:dyDescent="0.25"/>
    <row r="653" ht="13.2" customHeight="1" x14ac:dyDescent="0.25"/>
    <row r="654" ht="13.2" customHeight="1" x14ac:dyDescent="0.25"/>
    <row r="655" ht="13.2" customHeight="1" x14ac:dyDescent="0.25"/>
    <row r="656" ht="13.2" customHeight="1" x14ac:dyDescent="0.25"/>
    <row r="657" ht="13.2" customHeight="1" x14ac:dyDescent="0.25"/>
    <row r="658" ht="13.2" customHeight="1" x14ac:dyDescent="0.25"/>
    <row r="659" ht="13.2" customHeight="1" x14ac:dyDescent="0.25"/>
    <row r="660" ht="13.2" customHeight="1" x14ac:dyDescent="0.25"/>
    <row r="661" ht="13.2" customHeight="1" x14ac:dyDescent="0.25"/>
    <row r="662" ht="13.2" customHeight="1" x14ac:dyDescent="0.25"/>
    <row r="663" ht="13.2" customHeight="1" x14ac:dyDescent="0.25"/>
    <row r="664" ht="13.2" customHeight="1" x14ac:dyDescent="0.25"/>
    <row r="665" ht="13.2" customHeight="1" x14ac:dyDescent="0.25"/>
    <row r="666" ht="13.2" customHeight="1" x14ac:dyDescent="0.25"/>
    <row r="667" ht="13.2" customHeight="1" x14ac:dyDescent="0.25"/>
    <row r="668" ht="13.2" customHeight="1" x14ac:dyDescent="0.25"/>
    <row r="669" ht="13.2" customHeight="1" x14ac:dyDescent="0.25"/>
    <row r="670" ht="13.2" customHeight="1" x14ac:dyDescent="0.25"/>
    <row r="671" ht="13.2" customHeight="1" x14ac:dyDescent="0.25"/>
    <row r="672" ht="13.2" customHeight="1" x14ac:dyDescent="0.25"/>
    <row r="673" ht="13.2" customHeight="1" x14ac:dyDescent="0.25"/>
    <row r="674" ht="13.2" customHeight="1" x14ac:dyDescent="0.25"/>
    <row r="675" ht="13.2" customHeight="1" x14ac:dyDescent="0.25"/>
    <row r="676" ht="13.2" customHeight="1" x14ac:dyDescent="0.25"/>
    <row r="677" ht="13.2" customHeight="1" x14ac:dyDescent="0.25"/>
    <row r="678" ht="13.2" customHeight="1" x14ac:dyDescent="0.25"/>
    <row r="679" ht="13.2" customHeight="1" x14ac:dyDescent="0.25"/>
    <row r="680" ht="13.2" customHeight="1" x14ac:dyDescent="0.25"/>
    <row r="681" ht="13.2" customHeight="1" x14ac:dyDescent="0.25"/>
    <row r="682" ht="13.2" customHeight="1" x14ac:dyDescent="0.25"/>
    <row r="683" ht="13.2" customHeight="1" x14ac:dyDescent="0.25"/>
    <row r="684" ht="13.2" customHeight="1" x14ac:dyDescent="0.25"/>
    <row r="685" ht="13.2" customHeight="1" x14ac:dyDescent="0.25"/>
    <row r="686" ht="13.2" customHeight="1" x14ac:dyDescent="0.25"/>
    <row r="687" ht="13.2" customHeight="1" x14ac:dyDescent="0.25"/>
    <row r="688" ht="13.2" customHeight="1" x14ac:dyDescent="0.25"/>
    <row r="689" ht="13.2" customHeight="1" x14ac:dyDescent="0.25"/>
    <row r="690" ht="13.2" customHeight="1" x14ac:dyDescent="0.25"/>
    <row r="691" ht="13.2" customHeight="1" x14ac:dyDescent="0.25"/>
    <row r="692" ht="13.2" customHeight="1" x14ac:dyDescent="0.25"/>
    <row r="693" ht="13.2" customHeight="1" x14ac:dyDescent="0.25"/>
    <row r="694" ht="13.2" customHeight="1" x14ac:dyDescent="0.25"/>
    <row r="695" ht="13.2" customHeight="1" x14ac:dyDescent="0.25"/>
    <row r="696" ht="13.2" customHeight="1" x14ac:dyDescent="0.25"/>
    <row r="697" ht="13.2" customHeight="1" x14ac:dyDescent="0.25"/>
    <row r="698" ht="13.2" customHeight="1" x14ac:dyDescent="0.25"/>
    <row r="699" ht="13.2" customHeight="1" x14ac:dyDescent="0.25"/>
    <row r="700" ht="13.2" customHeight="1" x14ac:dyDescent="0.25"/>
    <row r="701" ht="13.2" customHeight="1" x14ac:dyDescent="0.25"/>
    <row r="702" ht="13.2" customHeight="1" x14ac:dyDescent="0.25"/>
    <row r="703" ht="13.2" customHeight="1" x14ac:dyDescent="0.25"/>
    <row r="704" ht="13.2" customHeight="1" x14ac:dyDescent="0.25"/>
    <row r="705" ht="13.2" customHeight="1" x14ac:dyDescent="0.25"/>
    <row r="706" ht="13.2" customHeight="1" x14ac:dyDescent="0.25"/>
    <row r="707" ht="13.2" customHeight="1" x14ac:dyDescent="0.25"/>
    <row r="708" ht="13.2" customHeight="1" x14ac:dyDescent="0.25"/>
    <row r="709" ht="13.2" customHeight="1" x14ac:dyDescent="0.25"/>
    <row r="710" ht="13.2" customHeight="1" x14ac:dyDescent="0.25"/>
    <row r="711" ht="13.2" customHeight="1" x14ac:dyDescent="0.25"/>
    <row r="712" ht="13.2" customHeight="1" x14ac:dyDescent="0.25"/>
    <row r="713" ht="13.2" customHeight="1" x14ac:dyDescent="0.25"/>
    <row r="714" ht="13.2" customHeight="1" x14ac:dyDescent="0.25"/>
    <row r="715" ht="13.2" customHeight="1" x14ac:dyDescent="0.25"/>
    <row r="716" ht="13.2" customHeight="1" x14ac:dyDescent="0.25"/>
    <row r="717" ht="13.2" customHeight="1" x14ac:dyDescent="0.25"/>
    <row r="718" ht="13.2" customHeight="1" x14ac:dyDescent="0.25"/>
    <row r="719" ht="13.2" customHeight="1" x14ac:dyDescent="0.25"/>
    <row r="720" ht="13.2" customHeight="1" x14ac:dyDescent="0.25"/>
    <row r="721" ht="13.2" customHeight="1" x14ac:dyDescent="0.25"/>
    <row r="722" ht="13.2" customHeight="1" x14ac:dyDescent="0.25"/>
    <row r="723" ht="13.2" customHeight="1" x14ac:dyDescent="0.25"/>
    <row r="724" ht="13.2" customHeight="1" x14ac:dyDescent="0.25"/>
    <row r="725" ht="13.2" customHeight="1" x14ac:dyDescent="0.25"/>
    <row r="726" ht="13.2" customHeight="1" x14ac:dyDescent="0.25"/>
    <row r="727" ht="13.2" customHeight="1" x14ac:dyDescent="0.25"/>
    <row r="728" ht="13.2" customHeight="1" x14ac:dyDescent="0.25"/>
    <row r="729" ht="13.2" customHeight="1" x14ac:dyDescent="0.25"/>
    <row r="730" ht="13.2" customHeight="1" x14ac:dyDescent="0.25"/>
    <row r="731" ht="13.2" customHeight="1" x14ac:dyDescent="0.25"/>
    <row r="732" ht="13.2" customHeight="1" x14ac:dyDescent="0.25"/>
    <row r="733" ht="13.2" customHeight="1" x14ac:dyDescent="0.25"/>
    <row r="734" ht="13.2" customHeight="1" x14ac:dyDescent="0.25"/>
    <row r="735" ht="13.2" customHeight="1" x14ac:dyDescent="0.25"/>
    <row r="736" ht="13.2" customHeight="1" x14ac:dyDescent="0.25"/>
    <row r="737" ht="13.2" customHeight="1" x14ac:dyDescent="0.25"/>
    <row r="738" ht="13.2" customHeight="1" x14ac:dyDescent="0.25"/>
    <row r="739" ht="13.2" customHeight="1" x14ac:dyDescent="0.25"/>
    <row r="740" ht="13.2" customHeight="1" x14ac:dyDescent="0.25"/>
    <row r="741" ht="13.2" customHeight="1" x14ac:dyDescent="0.25"/>
    <row r="742" ht="13.2" customHeight="1" x14ac:dyDescent="0.25"/>
    <row r="743" ht="13.2" customHeight="1" x14ac:dyDescent="0.25"/>
    <row r="744" ht="13.2" customHeight="1" x14ac:dyDescent="0.25"/>
    <row r="745" ht="13.2" customHeight="1" x14ac:dyDescent="0.25"/>
    <row r="746" ht="13.2" customHeight="1" x14ac:dyDescent="0.25"/>
    <row r="747" ht="13.2" customHeight="1" x14ac:dyDescent="0.25"/>
    <row r="748" ht="13.2" customHeight="1" x14ac:dyDescent="0.25"/>
    <row r="749" ht="13.2" customHeight="1" x14ac:dyDescent="0.25"/>
    <row r="750" ht="13.2" customHeight="1" x14ac:dyDescent="0.25"/>
    <row r="751" ht="13.2" customHeight="1" x14ac:dyDescent="0.25"/>
    <row r="752" ht="13.2" customHeight="1" x14ac:dyDescent="0.25"/>
    <row r="753" ht="13.2" customHeight="1" x14ac:dyDescent="0.25"/>
    <row r="754" ht="13.2" customHeight="1" x14ac:dyDescent="0.25"/>
    <row r="755" ht="13.2" customHeight="1" x14ac:dyDescent="0.25"/>
    <row r="756" ht="13.2" customHeight="1" x14ac:dyDescent="0.25"/>
    <row r="757" ht="13.2" customHeight="1" x14ac:dyDescent="0.25"/>
    <row r="758" ht="13.2" customHeight="1" x14ac:dyDescent="0.25"/>
    <row r="759" ht="13.2" customHeight="1" x14ac:dyDescent="0.25"/>
    <row r="760" ht="13.2" customHeight="1" x14ac:dyDescent="0.25"/>
    <row r="761" ht="13.2" customHeight="1" x14ac:dyDescent="0.25"/>
    <row r="762" ht="13.2" customHeight="1" x14ac:dyDescent="0.25"/>
    <row r="763" ht="13.2" customHeight="1" x14ac:dyDescent="0.25"/>
    <row r="764" ht="13.2" customHeight="1" x14ac:dyDescent="0.25"/>
    <row r="765" ht="13.2" customHeight="1" x14ac:dyDescent="0.25"/>
    <row r="766" ht="13.2" customHeight="1" x14ac:dyDescent="0.25"/>
    <row r="767" ht="13.2" customHeight="1" x14ac:dyDescent="0.25"/>
    <row r="768" ht="13.2" customHeight="1" x14ac:dyDescent="0.25"/>
    <row r="769" ht="13.2" customHeight="1" x14ac:dyDescent="0.25"/>
    <row r="770" ht="13.2" customHeight="1" x14ac:dyDescent="0.25"/>
    <row r="771" ht="13.2" customHeight="1" x14ac:dyDescent="0.25"/>
    <row r="772" ht="13.2" customHeight="1" x14ac:dyDescent="0.25"/>
    <row r="773" ht="13.2" customHeight="1" x14ac:dyDescent="0.25"/>
    <row r="774" ht="13.2" customHeight="1" x14ac:dyDescent="0.25"/>
    <row r="775" ht="13.2" customHeight="1" x14ac:dyDescent="0.25"/>
    <row r="776" ht="13.2" customHeight="1" x14ac:dyDescent="0.25"/>
    <row r="777" ht="13.2" customHeight="1" x14ac:dyDescent="0.25"/>
    <row r="778" ht="13.2" customHeight="1" x14ac:dyDescent="0.25"/>
    <row r="779" ht="13.2" customHeight="1" x14ac:dyDescent="0.25"/>
    <row r="780" ht="13.2" customHeight="1" x14ac:dyDescent="0.25"/>
    <row r="781" ht="13.2" customHeight="1" x14ac:dyDescent="0.25"/>
    <row r="782" ht="13.2" customHeight="1" x14ac:dyDescent="0.25"/>
    <row r="783" ht="13.2" customHeight="1" x14ac:dyDescent="0.25"/>
    <row r="784" ht="13.2" customHeight="1" x14ac:dyDescent="0.25"/>
    <row r="785" ht="13.2" customHeight="1" x14ac:dyDescent="0.25"/>
    <row r="786" ht="13.2" customHeight="1" x14ac:dyDescent="0.25"/>
    <row r="787" ht="13.2" customHeight="1" x14ac:dyDescent="0.25"/>
    <row r="788" ht="13.2" customHeight="1" x14ac:dyDescent="0.25"/>
    <row r="789" ht="13.2" customHeight="1" x14ac:dyDescent="0.25"/>
    <row r="790" ht="13.2" customHeight="1" x14ac:dyDescent="0.25"/>
    <row r="791" ht="13.2" customHeight="1" x14ac:dyDescent="0.25"/>
    <row r="792" ht="13.2" customHeight="1" x14ac:dyDescent="0.25"/>
    <row r="793" ht="13.2" customHeight="1" x14ac:dyDescent="0.25"/>
    <row r="794" ht="13.2" customHeight="1" x14ac:dyDescent="0.25"/>
    <row r="795" ht="13.2" customHeight="1" x14ac:dyDescent="0.25"/>
    <row r="796" ht="13.2" customHeight="1" x14ac:dyDescent="0.25"/>
    <row r="797" ht="13.2" customHeight="1" x14ac:dyDescent="0.25"/>
    <row r="798" ht="13.2" customHeight="1" x14ac:dyDescent="0.25"/>
    <row r="799" ht="13.2" customHeight="1" x14ac:dyDescent="0.25"/>
    <row r="800" ht="13.2" customHeight="1" x14ac:dyDescent="0.25"/>
    <row r="801" ht="13.2" customHeight="1" x14ac:dyDescent="0.25"/>
    <row r="802" ht="13.2" customHeight="1" x14ac:dyDescent="0.25"/>
    <row r="803" ht="13.2" customHeight="1" x14ac:dyDescent="0.25"/>
    <row r="804" ht="13.2" customHeight="1" x14ac:dyDescent="0.25"/>
    <row r="805" ht="13.2" customHeight="1" x14ac:dyDescent="0.25"/>
    <row r="806" ht="13.2" customHeight="1" x14ac:dyDescent="0.25"/>
    <row r="807" ht="13.2" customHeight="1" x14ac:dyDescent="0.25"/>
    <row r="808" ht="13.2" customHeight="1" x14ac:dyDescent="0.25"/>
    <row r="809" ht="13.2" customHeight="1" x14ac:dyDescent="0.25"/>
    <row r="810" ht="13.2" customHeight="1" x14ac:dyDescent="0.25"/>
    <row r="811" ht="13.2" customHeight="1" x14ac:dyDescent="0.25"/>
    <row r="812" ht="13.2" customHeight="1" x14ac:dyDescent="0.25"/>
    <row r="813" ht="13.2" customHeight="1" x14ac:dyDescent="0.25"/>
    <row r="814" ht="13.2" customHeight="1" x14ac:dyDescent="0.25"/>
    <row r="815" ht="13.2" customHeight="1" x14ac:dyDescent="0.25"/>
    <row r="816" ht="13.2" customHeight="1" x14ac:dyDescent="0.25"/>
    <row r="817" ht="13.2" customHeight="1" x14ac:dyDescent="0.25"/>
    <row r="818" ht="13.2" customHeight="1" x14ac:dyDescent="0.25"/>
    <row r="819" ht="13.2" customHeight="1" x14ac:dyDescent="0.25"/>
    <row r="820" ht="13.2" customHeight="1" x14ac:dyDescent="0.25"/>
    <row r="821" ht="13.2" customHeight="1" x14ac:dyDescent="0.25"/>
    <row r="822" ht="13.2" customHeight="1" x14ac:dyDescent="0.25"/>
    <row r="823" ht="13.2" customHeight="1" x14ac:dyDescent="0.25"/>
    <row r="824" ht="13.2" customHeight="1" x14ac:dyDescent="0.25"/>
    <row r="825" ht="13.2" customHeight="1" x14ac:dyDescent="0.25"/>
    <row r="826" ht="13.2" customHeight="1" x14ac:dyDescent="0.25"/>
    <row r="827" ht="13.2" customHeight="1" x14ac:dyDescent="0.25"/>
    <row r="828" ht="13.2" customHeight="1" x14ac:dyDescent="0.25"/>
    <row r="829" ht="13.2" customHeight="1" x14ac:dyDescent="0.25"/>
    <row r="830" ht="13.2" customHeight="1" x14ac:dyDescent="0.25"/>
    <row r="831" ht="13.2" customHeight="1" x14ac:dyDescent="0.25"/>
    <row r="832" ht="13.2" customHeight="1" x14ac:dyDescent="0.25"/>
    <row r="833" ht="13.2" customHeight="1" x14ac:dyDescent="0.25"/>
    <row r="834" ht="13.2" customHeight="1" x14ac:dyDescent="0.25"/>
    <row r="835" ht="13.2" customHeight="1" x14ac:dyDescent="0.25"/>
    <row r="836" ht="13.2" customHeight="1" x14ac:dyDescent="0.25"/>
    <row r="837" ht="13.2" customHeight="1" x14ac:dyDescent="0.25"/>
    <row r="838" ht="13.2" customHeight="1" x14ac:dyDescent="0.25"/>
    <row r="839" ht="13.2" customHeight="1" x14ac:dyDescent="0.25"/>
    <row r="840" ht="13.2" customHeight="1" x14ac:dyDescent="0.25"/>
    <row r="841" ht="13.2" customHeight="1" x14ac:dyDescent="0.25"/>
    <row r="842" ht="13.2" customHeight="1" x14ac:dyDescent="0.25"/>
    <row r="843" ht="13.2" customHeight="1" x14ac:dyDescent="0.25"/>
    <row r="844" ht="13.2" customHeight="1" x14ac:dyDescent="0.25"/>
    <row r="845" ht="13.2" customHeight="1" x14ac:dyDescent="0.25"/>
    <row r="846" ht="13.2" customHeight="1" x14ac:dyDescent="0.25"/>
    <row r="847" ht="13.2" customHeight="1" x14ac:dyDescent="0.25"/>
    <row r="848" ht="13.2" customHeight="1" x14ac:dyDescent="0.25"/>
    <row r="849" ht="13.2" customHeight="1" x14ac:dyDescent="0.25"/>
    <row r="850" ht="13.2" customHeight="1" x14ac:dyDescent="0.25"/>
    <row r="851" ht="13.2" customHeight="1" x14ac:dyDescent="0.25"/>
    <row r="852" ht="13.2" customHeight="1" x14ac:dyDescent="0.25"/>
    <row r="853" ht="13.2" customHeight="1" x14ac:dyDescent="0.25"/>
    <row r="854" ht="13.2" customHeight="1" x14ac:dyDescent="0.25"/>
    <row r="855" ht="13.2" customHeight="1" x14ac:dyDescent="0.25"/>
    <row r="856" ht="13.2" customHeight="1" x14ac:dyDescent="0.25"/>
    <row r="857" ht="13.2" customHeight="1" x14ac:dyDescent="0.25"/>
    <row r="858" ht="13.2" customHeight="1" x14ac:dyDescent="0.25"/>
    <row r="859" ht="13.2" customHeight="1" x14ac:dyDescent="0.25"/>
    <row r="860" ht="13.2" customHeight="1" x14ac:dyDescent="0.25"/>
    <row r="861" ht="13.2" customHeight="1" x14ac:dyDescent="0.25"/>
    <row r="862" ht="13.2" customHeight="1" x14ac:dyDescent="0.25"/>
    <row r="863" ht="13.2" customHeight="1" x14ac:dyDescent="0.25"/>
    <row r="864" ht="13.2" customHeight="1" x14ac:dyDescent="0.25"/>
    <row r="865" ht="13.2" customHeight="1" x14ac:dyDescent="0.25"/>
    <row r="866" ht="13.2" customHeight="1" x14ac:dyDescent="0.25"/>
    <row r="867" ht="13.2" customHeight="1" x14ac:dyDescent="0.25"/>
    <row r="868" ht="13.2" customHeight="1" x14ac:dyDescent="0.25"/>
    <row r="869" ht="13.2" customHeight="1" x14ac:dyDescent="0.25"/>
    <row r="870" ht="13.2" customHeight="1" x14ac:dyDescent="0.25"/>
    <row r="871" ht="13.2" customHeight="1" x14ac:dyDescent="0.25"/>
    <row r="872" ht="13.2" customHeight="1" x14ac:dyDescent="0.25"/>
    <row r="873" ht="13.2" customHeight="1" x14ac:dyDescent="0.25"/>
    <row r="874" ht="13.2" customHeight="1" x14ac:dyDescent="0.25"/>
    <row r="875" ht="13.2" customHeight="1" x14ac:dyDescent="0.25"/>
    <row r="876" ht="13.2" customHeight="1" x14ac:dyDescent="0.25"/>
    <row r="877" ht="13.2" customHeight="1" x14ac:dyDescent="0.25"/>
    <row r="878" ht="13.2" customHeight="1" x14ac:dyDescent="0.25"/>
    <row r="879" ht="13.2" customHeight="1" x14ac:dyDescent="0.25"/>
    <row r="880" ht="13.2" customHeight="1" x14ac:dyDescent="0.25"/>
    <row r="881" ht="13.2" customHeight="1" x14ac:dyDescent="0.25"/>
    <row r="882" ht="13.2" customHeight="1" x14ac:dyDescent="0.25"/>
    <row r="883" ht="13.2" customHeight="1" x14ac:dyDescent="0.25"/>
    <row r="884" ht="13.2" customHeight="1" x14ac:dyDescent="0.25"/>
    <row r="885" ht="13.2" customHeight="1" x14ac:dyDescent="0.25"/>
    <row r="886" ht="13.2" customHeight="1" x14ac:dyDescent="0.25"/>
    <row r="887" ht="13.2" customHeight="1" x14ac:dyDescent="0.25"/>
    <row r="888" ht="13.2" customHeight="1" x14ac:dyDescent="0.25"/>
    <row r="889" ht="13.2" customHeight="1" x14ac:dyDescent="0.25"/>
    <row r="890" ht="13.2" customHeight="1" x14ac:dyDescent="0.25"/>
    <row r="891" ht="13.2" customHeight="1" x14ac:dyDescent="0.25"/>
    <row r="892" ht="13.2" customHeight="1" x14ac:dyDescent="0.25"/>
    <row r="893" ht="13.2" customHeight="1" x14ac:dyDescent="0.25"/>
    <row r="894" ht="13.2" customHeight="1" x14ac:dyDescent="0.25"/>
    <row r="895" ht="13.2" customHeight="1" x14ac:dyDescent="0.25"/>
    <row r="896" ht="13.2" customHeight="1" x14ac:dyDescent="0.25"/>
    <row r="897" ht="13.2" customHeight="1" x14ac:dyDescent="0.25"/>
    <row r="898" ht="13.2" customHeight="1" x14ac:dyDescent="0.25"/>
    <row r="899" ht="13.2" customHeight="1" x14ac:dyDescent="0.25"/>
    <row r="900" ht="13.2" customHeight="1" x14ac:dyDescent="0.25"/>
    <row r="901" ht="13.2" customHeight="1" x14ac:dyDescent="0.25"/>
    <row r="902" ht="13.2" customHeight="1" x14ac:dyDescent="0.25"/>
    <row r="903" ht="13.2" customHeight="1" x14ac:dyDescent="0.25"/>
    <row r="904" ht="13.2" customHeight="1" x14ac:dyDescent="0.25"/>
    <row r="905" ht="13.2" customHeight="1" x14ac:dyDescent="0.25"/>
    <row r="906" ht="13.2" customHeight="1" x14ac:dyDescent="0.25"/>
    <row r="907" ht="13.2" customHeight="1" x14ac:dyDescent="0.25"/>
    <row r="908" ht="13.2" customHeight="1" x14ac:dyDescent="0.25"/>
    <row r="909" ht="13.2" customHeight="1" x14ac:dyDescent="0.25"/>
    <row r="910" ht="13.2" customHeight="1" x14ac:dyDescent="0.25"/>
    <row r="911" ht="13.2" customHeight="1" x14ac:dyDescent="0.25"/>
    <row r="912" ht="13.2" customHeight="1" x14ac:dyDescent="0.25"/>
    <row r="913" ht="13.2" customHeight="1" x14ac:dyDescent="0.25"/>
    <row r="914" ht="13.2" customHeight="1" x14ac:dyDescent="0.25"/>
    <row r="915" ht="13.2" customHeight="1" x14ac:dyDescent="0.25"/>
    <row r="916" ht="13.2" customHeight="1" x14ac:dyDescent="0.25"/>
    <row r="917" ht="13.2" customHeight="1" x14ac:dyDescent="0.25"/>
    <row r="918" ht="13.2" customHeight="1" x14ac:dyDescent="0.25"/>
    <row r="919" ht="13.2" customHeight="1" x14ac:dyDescent="0.25"/>
    <row r="920" ht="13.2" customHeight="1" x14ac:dyDescent="0.25"/>
    <row r="921" ht="13.2" customHeight="1" x14ac:dyDescent="0.25"/>
    <row r="922" ht="13.2" customHeight="1" x14ac:dyDescent="0.25"/>
    <row r="923" ht="13.2" customHeight="1" x14ac:dyDescent="0.25"/>
    <row r="924" ht="13.2" customHeight="1" x14ac:dyDescent="0.25"/>
    <row r="925" ht="13.2" customHeight="1" x14ac:dyDescent="0.25"/>
    <row r="926" ht="13.2" customHeight="1" x14ac:dyDescent="0.25"/>
    <row r="927" ht="13.2" customHeight="1" x14ac:dyDescent="0.25"/>
    <row r="928" ht="13.2" customHeight="1" x14ac:dyDescent="0.25"/>
    <row r="929" ht="13.2" customHeight="1" x14ac:dyDescent="0.25"/>
    <row r="930" ht="13.2" customHeight="1" x14ac:dyDescent="0.25"/>
    <row r="931" ht="13.2" customHeight="1" x14ac:dyDescent="0.25"/>
    <row r="932" ht="13.2" customHeight="1" x14ac:dyDescent="0.25"/>
    <row r="933" ht="13.2" customHeight="1" x14ac:dyDescent="0.25"/>
    <row r="934" ht="13.2" customHeight="1" x14ac:dyDescent="0.25"/>
    <row r="935" ht="13.2" customHeight="1" x14ac:dyDescent="0.25"/>
    <row r="936" ht="13.2" customHeight="1" x14ac:dyDescent="0.25"/>
    <row r="937" ht="13.2" customHeight="1" x14ac:dyDescent="0.25"/>
    <row r="938" ht="13.2" customHeight="1" x14ac:dyDescent="0.25"/>
    <row r="939" ht="13.2" customHeight="1" x14ac:dyDescent="0.25"/>
    <row r="940" ht="13.2" customHeight="1" x14ac:dyDescent="0.25"/>
    <row r="941" ht="13.2" customHeight="1" x14ac:dyDescent="0.25"/>
    <row r="942" ht="13.2" customHeight="1" x14ac:dyDescent="0.25"/>
    <row r="943" ht="13.2" customHeight="1" x14ac:dyDescent="0.25"/>
    <row r="944" ht="13.2" customHeight="1" x14ac:dyDescent="0.25"/>
    <row r="945" ht="13.2" customHeight="1" x14ac:dyDescent="0.25"/>
    <row r="946" ht="13.2" customHeight="1" x14ac:dyDescent="0.25"/>
    <row r="947" ht="13.2" customHeight="1" x14ac:dyDescent="0.25"/>
    <row r="948" ht="13.2" customHeight="1" x14ac:dyDescent="0.25"/>
    <row r="949" ht="13.2" customHeight="1" x14ac:dyDescent="0.25"/>
    <row r="950" ht="13.2" customHeight="1" x14ac:dyDescent="0.25"/>
    <row r="951" ht="13.2" customHeight="1" x14ac:dyDescent="0.25"/>
    <row r="952" ht="13.2" customHeight="1" x14ac:dyDescent="0.25"/>
    <row r="953" ht="13.2" customHeight="1" x14ac:dyDescent="0.25"/>
    <row r="954" ht="13.2" customHeight="1" x14ac:dyDescent="0.25"/>
    <row r="955" ht="13.2" customHeight="1" x14ac:dyDescent="0.25"/>
    <row r="956" ht="13.2" customHeight="1" x14ac:dyDescent="0.25"/>
    <row r="957" ht="13.2" customHeight="1" x14ac:dyDescent="0.25"/>
    <row r="958" ht="13.2" customHeight="1" x14ac:dyDescent="0.25"/>
    <row r="959" ht="13.2" customHeight="1" x14ac:dyDescent="0.25"/>
    <row r="960" ht="13.2" customHeight="1" x14ac:dyDescent="0.25"/>
    <row r="961" ht="13.2" customHeight="1" x14ac:dyDescent="0.25"/>
    <row r="962" ht="13.2" customHeight="1" x14ac:dyDescent="0.25"/>
    <row r="963" ht="13.2" customHeight="1" x14ac:dyDescent="0.25"/>
    <row r="964" ht="13.2" customHeight="1" x14ac:dyDescent="0.25"/>
    <row r="965" ht="13.2" customHeight="1" x14ac:dyDescent="0.25"/>
    <row r="966" ht="13.2" customHeight="1" x14ac:dyDescent="0.25"/>
    <row r="967" ht="13.2" customHeight="1" x14ac:dyDescent="0.25"/>
    <row r="968" ht="13.2" customHeight="1" x14ac:dyDescent="0.25"/>
    <row r="969" ht="13.2" customHeight="1" x14ac:dyDescent="0.25"/>
    <row r="970" ht="13.2" customHeight="1" x14ac:dyDescent="0.25"/>
    <row r="971" ht="13.2" customHeight="1" x14ac:dyDescent="0.25"/>
    <row r="972" ht="13.2" customHeight="1" x14ac:dyDescent="0.25"/>
    <row r="973" ht="13.2" customHeight="1" x14ac:dyDescent="0.25"/>
    <row r="974" ht="13.2" customHeight="1" x14ac:dyDescent="0.25"/>
    <row r="975" ht="13.2" customHeight="1" x14ac:dyDescent="0.25"/>
    <row r="976" ht="13.2" customHeight="1" x14ac:dyDescent="0.25"/>
    <row r="977" ht="13.2" customHeight="1" x14ac:dyDescent="0.25"/>
    <row r="978" ht="13.2" customHeight="1" x14ac:dyDescent="0.25"/>
    <row r="979" ht="13.2" customHeight="1" x14ac:dyDescent="0.25"/>
    <row r="980" ht="13.2" customHeight="1" x14ac:dyDescent="0.25"/>
    <row r="981" ht="13.2" customHeight="1" x14ac:dyDescent="0.25"/>
    <row r="982" ht="13.2" customHeight="1" x14ac:dyDescent="0.25"/>
    <row r="983" ht="13.2" customHeight="1" x14ac:dyDescent="0.25"/>
    <row r="984" ht="13.2" customHeight="1" x14ac:dyDescent="0.25"/>
    <row r="985" ht="13.2" customHeight="1" x14ac:dyDescent="0.25"/>
    <row r="986" ht="13.2" customHeight="1" x14ac:dyDescent="0.25"/>
    <row r="987" ht="13.2" customHeight="1" x14ac:dyDescent="0.25"/>
    <row r="988" ht="13.2" customHeight="1" x14ac:dyDescent="0.25"/>
    <row r="989" ht="13.2" customHeight="1" x14ac:dyDescent="0.25"/>
    <row r="990" ht="13.2" customHeight="1" x14ac:dyDescent="0.25"/>
    <row r="991" ht="13.2" customHeight="1" x14ac:dyDescent="0.25"/>
    <row r="992" ht="13.2" customHeight="1" x14ac:dyDescent="0.25"/>
    <row r="993" ht="13.2" customHeight="1" x14ac:dyDescent="0.25"/>
    <row r="994" ht="13.2" customHeight="1" x14ac:dyDescent="0.25"/>
    <row r="995" ht="13.2" customHeight="1" x14ac:dyDescent="0.25"/>
    <row r="996" ht="13.2" customHeight="1" x14ac:dyDescent="0.25"/>
    <row r="997" ht="13.2" customHeight="1" x14ac:dyDescent="0.25"/>
    <row r="998" ht="13.2" customHeight="1" x14ac:dyDescent="0.25"/>
    <row r="999" ht="13.2" customHeight="1" x14ac:dyDescent="0.25"/>
    <row r="1000" ht="13.2" customHeight="1" x14ac:dyDescent="0.25"/>
  </sheetData>
  <mergeCells count="1">
    <mergeCell ref="A1:F1"/>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Q67"/>
  <sheetViews>
    <sheetView workbookViewId="0">
      <pane ySplit="2" topLeftCell="A3" activePane="bottomLeft" state="frozen"/>
      <selection pane="bottomLeft" activeCell="B4" sqref="B4"/>
    </sheetView>
  </sheetViews>
  <sheetFormatPr defaultColWidth="12.6640625" defaultRowHeight="15.75" customHeight="1" x14ac:dyDescent="0.25"/>
  <cols>
    <col min="2" max="2" width="44" customWidth="1"/>
    <col min="10" max="10" width="20.33203125" customWidth="1"/>
  </cols>
  <sheetData>
    <row r="1" spans="1:17" ht="34.950000000000003" customHeight="1" x14ac:dyDescent="0.25">
      <c r="A1" s="51" t="str">
        <f>HYPERLINK("#gid=0", "🏠 กลับสู่หน้าแรก (Go to Home Page)")</f>
        <v>🏠 กลับสู่หน้าแรก (Go to Home Page)</v>
      </c>
      <c r="B1" s="49"/>
      <c r="C1" s="49"/>
      <c r="D1" s="49"/>
      <c r="E1" s="49"/>
      <c r="F1" s="49"/>
      <c r="G1" s="10"/>
      <c r="H1" s="10"/>
      <c r="I1" s="10"/>
      <c r="J1" s="10"/>
      <c r="K1" s="10"/>
      <c r="L1" s="10"/>
      <c r="M1" s="10"/>
      <c r="N1" s="10"/>
      <c r="O1" s="10"/>
      <c r="P1" s="10"/>
      <c r="Q1" s="10"/>
    </row>
    <row r="2" spans="1:17" ht="64.8" customHeight="1" x14ac:dyDescent="0.25">
      <c r="A2" s="17" t="s">
        <v>10</v>
      </c>
      <c r="B2" s="17" t="s">
        <v>11</v>
      </c>
      <c r="C2" s="17" t="s">
        <v>12</v>
      </c>
      <c r="D2" s="17" t="s">
        <v>13</v>
      </c>
      <c r="E2" s="17" t="s">
        <v>14</v>
      </c>
      <c r="F2" s="17" t="s">
        <v>15</v>
      </c>
      <c r="G2" s="17" t="s">
        <v>16</v>
      </c>
      <c r="H2" s="17" t="s">
        <v>17</v>
      </c>
      <c r="I2" s="17" t="s">
        <v>154</v>
      </c>
      <c r="J2" s="17" t="s">
        <v>19</v>
      </c>
      <c r="K2" s="17" t="s">
        <v>20</v>
      </c>
      <c r="L2" s="17" t="s">
        <v>81</v>
      </c>
      <c r="M2" s="17" t="s">
        <v>155</v>
      </c>
      <c r="N2" s="17" t="s">
        <v>23</v>
      </c>
      <c r="O2" s="10" t="s">
        <v>24</v>
      </c>
      <c r="P2" s="10" t="s">
        <v>25</v>
      </c>
      <c r="Q2" s="10"/>
    </row>
    <row r="3" spans="1:17" ht="409.6" customHeight="1" x14ac:dyDescent="0.25">
      <c r="A3" s="12" t="s">
        <v>96</v>
      </c>
      <c r="B3" s="10" t="s">
        <v>14575</v>
      </c>
      <c r="C3" s="10"/>
      <c r="D3" s="10" t="s">
        <v>14576</v>
      </c>
      <c r="E3" s="10" t="s">
        <v>13709</v>
      </c>
      <c r="F3" s="10" t="s">
        <v>14230</v>
      </c>
      <c r="G3" s="10" t="s">
        <v>14485</v>
      </c>
      <c r="H3" s="10" t="s">
        <v>14402</v>
      </c>
      <c r="I3" s="12" t="s">
        <v>90</v>
      </c>
      <c r="J3" s="10" t="s">
        <v>14577</v>
      </c>
      <c r="K3" s="10" t="s">
        <v>14578</v>
      </c>
      <c r="L3" s="10" t="s">
        <v>14579</v>
      </c>
      <c r="M3" s="10" t="s">
        <v>14580</v>
      </c>
      <c r="N3" s="10" t="s">
        <v>14581</v>
      </c>
      <c r="O3" s="10" t="s">
        <v>816</v>
      </c>
      <c r="P3" s="10" t="s">
        <v>1849</v>
      </c>
      <c r="Q3" s="10"/>
    </row>
    <row r="4" spans="1:17" ht="409.6" customHeight="1" x14ac:dyDescent="0.25">
      <c r="A4" s="12" t="s">
        <v>90</v>
      </c>
      <c r="B4" s="10" t="s">
        <v>14582</v>
      </c>
      <c r="C4" s="10"/>
      <c r="D4" s="10" t="s">
        <v>14271</v>
      </c>
      <c r="E4" s="10" t="s">
        <v>14583</v>
      </c>
      <c r="F4" s="10" t="s">
        <v>14584</v>
      </c>
      <c r="G4" s="10" t="s">
        <v>14351</v>
      </c>
      <c r="H4" s="10" t="s">
        <v>14396</v>
      </c>
      <c r="I4" s="12" t="s">
        <v>84</v>
      </c>
      <c r="J4" s="10" t="s">
        <v>14585</v>
      </c>
      <c r="K4" s="10" t="s">
        <v>14271</v>
      </c>
      <c r="L4" s="10" t="s">
        <v>14586</v>
      </c>
      <c r="M4" s="10" t="s">
        <v>14580</v>
      </c>
      <c r="N4" s="10" t="s">
        <v>14587</v>
      </c>
      <c r="O4" s="10" t="s">
        <v>164</v>
      </c>
      <c r="P4" s="10" t="s">
        <v>1865</v>
      </c>
      <c r="Q4" s="10"/>
    </row>
    <row r="5" spans="1:17" ht="409.6" customHeight="1" x14ac:dyDescent="0.25">
      <c r="A5" s="12" t="s">
        <v>113</v>
      </c>
      <c r="B5" s="10" t="s">
        <v>14588</v>
      </c>
      <c r="C5" s="10"/>
      <c r="D5" s="10" t="s">
        <v>14396</v>
      </c>
      <c r="E5" s="10" t="s">
        <v>14271</v>
      </c>
      <c r="F5" s="10" t="s">
        <v>14401</v>
      </c>
      <c r="G5" s="10" t="s">
        <v>14351</v>
      </c>
      <c r="H5" s="10" t="s">
        <v>14402</v>
      </c>
      <c r="I5" s="12" t="s">
        <v>96</v>
      </c>
      <c r="J5" s="10" t="s">
        <v>14589</v>
      </c>
      <c r="K5" s="10" t="s">
        <v>14271</v>
      </c>
      <c r="L5" s="10" t="s">
        <v>14590</v>
      </c>
      <c r="M5" s="10" t="s">
        <v>14580</v>
      </c>
      <c r="N5" s="10" t="s">
        <v>14591</v>
      </c>
      <c r="O5" s="10" t="s">
        <v>164</v>
      </c>
      <c r="P5" s="10" t="s">
        <v>1865</v>
      </c>
      <c r="Q5" s="10"/>
    </row>
    <row r="6" spans="1:17" ht="409.6" customHeight="1" x14ac:dyDescent="0.25">
      <c r="A6" s="12" t="s">
        <v>123</v>
      </c>
      <c r="B6" s="10" t="s">
        <v>14592</v>
      </c>
      <c r="C6" s="10"/>
      <c r="D6" s="10" t="s">
        <v>14593</v>
      </c>
      <c r="E6" s="10" t="s">
        <v>14594</v>
      </c>
      <c r="F6" s="10" t="s">
        <v>14595</v>
      </c>
      <c r="G6" s="10" t="s">
        <v>14596</v>
      </c>
      <c r="H6" s="10" t="s">
        <v>14597</v>
      </c>
      <c r="I6" s="12" t="s">
        <v>84</v>
      </c>
      <c r="J6" s="10" t="s">
        <v>14598</v>
      </c>
      <c r="K6" s="10" t="s">
        <v>14599</v>
      </c>
      <c r="L6" s="10" t="s">
        <v>14600</v>
      </c>
      <c r="M6" s="10" t="s">
        <v>14580</v>
      </c>
      <c r="N6" s="10" t="s">
        <v>14601</v>
      </c>
      <c r="O6" s="10" t="s">
        <v>164</v>
      </c>
      <c r="P6" s="10" t="s">
        <v>2017</v>
      </c>
      <c r="Q6" s="10"/>
    </row>
    <row r="7" spans="1:17" ht="409.6" customHeight="1" x14ac:dyDescent="0.25">
      <c r="A7" s="12" t="s">
        <v>132</v>
      </c>
      <c r="B7" s="10" t="s">
        <v>14602</v>
      </c>
      <c r="C7" s="10"/>
      <c r="D7" s="10" t="s">
        <v>14603</v>
      </c>
      <c r="E7" s="10" t="s">
        <v>14086</v>
      </c>
      <c r="F7" s="10" t="s">
        <v>14087</v>
      </c>
      <c r="G7" s="10" t="s">
        <v>14596</v>
      </c>
      <c r="H7" s="10" t="s">
        <v>14604</v>
      </c>
      <c r="I7" s="12" t="s">
        <v>84</v>
      </c>
      <c r="J7" s="10" t="s">
        <v>14605</v>
      </c>
      <c r="K7" s="10" t="s">
        <v>14606</v>
      </c>
      <c r="L7" s="10" t="s">
        <v>14607</v>
      </c>
      <c r="M7" s="10" t="s">
        <v>14580</v>
      </c>
      <c r="N7" s="10" t="s">
        <v>4814</v>
      </c>
      <c r="O7" s="10" t="s">
        <v>164</v>
      </c>
      <c r="P7" s="10" t="s">
        <v>2017</v>
      </c>
      <c r="Q7" s="10"/>
    </row>
    <row r="8" spans="1:17" ht="409.6" customHeight="1" x14ac:dyDescent="0.25">
      <c r="A8" s="12" t="s">
        <v>10084</v>
      </c>
      <c r="B8" s="10" t="s">
        <v>14608</v>
      </c>
      <c r="C8" s="10"/>
      <c r="D8" s="10" t="s">
        <v>14609</v>
      </c>
      <c r="E8" s="10" t="s">
        <v>14610</v>
      </c>
      <c r="F8" s="10" t="s">
        <v>14611</v>
      </c>
      <c r="G8" s="10" t="s">
        <v>14612</v>
      </c>
      <c r="H8" s="10" t="s">
        <v>14613</v>
      </c>
      <c r="I8" s="12" t="s">
        <v>84</v>
      </c>
      <c r="J8" s="10" t="s">
        <v>14614</v>
      </c>
      <c r="K8" s="10" t="s">
        <v>14129</v>
      </c>
      <c r="L8" s="10" t="s">
        <v>14615</v>
      </c>
      <c r="M8" s="10" t="s">
        <v>14580</v>
      </c>
      <c r="N8" s="10" t="s">
        <v>7340</v>
      </c>
      <c r="O8" s="10" t="s">
        <v>164</v>
      </c>
      <c r="P8" s="10" t="s">
        <v>2017</v>
      </c>
      <c r="Q8" s="10"/>
    </row>
    <row r="9" spans="1:17" ht="409.6" customHeight="1" x14ac:dyDescent="0.25">
      <c r="A9" s="12" t="s">
        <v>10093</v>
      </c>
      <c r="B9" s="10" t="s">
        <v>14616</v>
      </c>
      <c r="C9" s="10"/>
      <c r="D9" s="10" t="s">
        <v>14617</v>
      </c>
      <c r="E9" s="10" t="s">
        <v>14618</v>
      </c>
      <c r="F9" s="10" t="s">
        <v>14619</v>
      </c>
      <c r="G9" s="10" t="s">
        <v>14620</v>
      </c>
      <c r="H9" s="10" t="s">
        <v>14621</v>
      </c>
      <c r="I9" s="12" t="s">
        <v>84</v>
      </c>
      <c r="J9" s="10" t="s">
        <v>14622</v>
      </c>
      <c r="K9" s="10" t="s">
        <v>14599</v>
      </c>
      <c r="L9" s="10" t="s">
        <v>14623</v>
      </c>
      <c r="M9" s="10" t="s">
        <v>14580</v>
      </c>
      <c r="N9" s="10" t="s">
        <v>9770</v>
      </c>
      <c r="O9" s="10" t="s">
        <v>164</v>
      </c>
      <c r="P9" s="10" t="s">
        <v>2017</v>
      </c>
      <c r="Q9" s="10"/>
    </row>
    <row r="10" spans="1:17" ht="409.6" customHeight="1" x14ac:dyDescent="0.25">
      <c r="A10" s="12" t="s">
        <v>10102</v>
      </c>
      <c r="B10" s="10" t="s">
        <v>14624</v>
      </c>
      <c r="C10" s="10"/>
      <c r="D10" s="10" t="s">
        <v>14625</v>
      </c>
      <c r="E10" s="10" t="s">
        <v>14087</v>
      </c>
      <c r="F10" s="10" t="s">
        <v>14096</v>
      </c>
      <c r="G10" s="10" t="s">
        <v>14626</v>
      </c>
      <c r="H10" s="10" t="s">
        <v>14627</v>
      </c>
      <c r="I10" s="12" t="s">
        <v>84</v>
      </c>
      <c r="J10" s="10" t="s">
        <v>14628</v>
      </c>
      <c r="K10" s="10" t="s">
        <v>14629</v>
      </c>
      <c r="L10" s="10" t="s">
        <v>14630</v>
      </c>
      <c r="M10" s="10" t="s">
        <v>14580</v>
      </c>
      <c r="N10" s="10" t="s">
        <v>14631</v>
      </c>
      <c r="O10" s="10" t="s">
        <v>164</v>
      </c>
      <c r="P10" s="10" t="s">
        <v>2155</v>
      </c>
      <c r="Q10" s="10"/>
    </row>
    <row r="11" spans="1:17" ht="409.6" customHeight="1" x14ac:dyDescent="0.25">
      <c r="A11" s="12" t="s">
        <v>10102</v>
      </c>
      <c r="B11" s="10" t="s">
        <v>14632</v>
      </c>
      <c r="C11" s="10"/>
      <c r="D11" s="10" t="s">
        <v>14633</v>
      </c>
      <c r="E11" s="10" t="s">
        <v>14634</v>
      </c>
      <c r="F11" s="10" t="s">
        <v>14635</v>
      </c>
      <c r="G11" s="10" t="s">
        <v>14636</v>
      </c>
      <c r="H11" s="10" t="s">
        <v>14637</v>
      </c>
      <c r="I11" s="12" t="s">
        <v>84</v>
      </c>
      <c r="J11" s="10" t="s">
        <v>14638</v>
      </c>
      <c r="K11" s="10"/>
      <c r="L11" s="10" t="s">
        <v>14639</v>
      </c>
      <c r="M11" s="10" t="s">
        <v>9</v>
      </c>
      <c r="N11" s="10" t="s">
        <v>14640</v>
      </c>
      <c r="O11" s="10" t="s">
        <v>164</v>
      </c>
      <c r="P11" s="10" t="s">
        <v>2206</v>
      </c>
      <c r="Q11" s="10"/>
    </row>
    <row r="12" spans="1:17" ht="409.6" customHeight="1" x14ac:dyDescent="0.25">
      <c r="A12" s="12" t="s">
        <v>10111</v>
      </c>
      <c r="B12" s="10" t="s">
        <v>14641</v>
      </c>
      <c r="C12" s="10"/>
      <c r="D12" s="10" t="s">
        <v>14642</v>
      </c>
      <c r="E12" s="10" t="s">
        <v>14643</v>
      </c>
      <c r="F12" s="10" t="s">
        <v>14644</v>
      </c>
      <c r="G12" s="10" t="s">
        <v>14645</v>
      </c>
      <c r="H12" s="10" t="s">
        <v>14646</v>
      </c>
      <c r="I12" s="12" t="s">
        <v>84</v>
      </c>
      <c r="J12" s="10" t="s">
        <v>14647</v>
      </c>
      <c r="K12" s="10" t="s">
        <v>14639</v>
      </c>
      <c r="L12" s="10" t="s">
        <v>14648</v>
      </c>
      <c r="M12" s="10" t="s">
        <v>9</v>
      </c>
      <c r="N12" s="10" t="s">
        <v>6134</v>
      </c>
      <c r="O12" s="10" t="s">
        <v>164</v>
      </c>
      <c r="P12" s="10" t="s">
        <v>2317</v>
      </c>
      <c r="Q12" s="10"/>
    </row>
    <row r="13" spans="1:17" ht="409.6" customHeight="1" x14ac:dyDescent="0.25">
      <c r="A13" s="12" t="s">
        <v>10119</v>
      </c>
      <c r="B13" s="10" t="s">
        <v>14649</v>
      </c>
      <c r="C13" s="10"/>
      <c r="D13" s="10" t="s">
        <v>14485</v>
      </c>
      <c r="E13" s="10" t="s">
        <v>14230</v>
      </c>
      <c r="F13" s="10" t="s">
        <v>14650</v>
      </c>
      <c r="G13" s="10" t="s">
        <v>14651</v>
      </c>
      <c r="H13" s="10" t="s">
        <v>14652</v>
      </c>
      <c r="I13" s="12" t="s">
        <v>84</v>
      </c>
      <c r="J13" s="10" t="s">
        <v>14653</v>
      </c>
      <c r="K13" s="10"/>
      <c r="L13" s="10" t="s">
        <v>14639</v>
      </c>
      <c r="M13" s="10" t="s">
        <v>9</v>
      </c>
      <c r="N13" s="10" t="s">
        <v>14654</v>
      </c>
      <c r="O13" s="10" t="s">
        <v>164</v>
      </c>
      <c r="P13" s="10" t="s">
        <v>2436</v>
      </c>
      <c r="Q13" s="10"/>
    </row>
    <row r="14" spans="1:17" ht="409.6" customHeight="1" x14ac:dyDescent="0.25">
      <c r="A14" s="12" t="s">
        <v>10123</v>
      </c>
      <c r="B14" s="10" t="s">
        <v>14655</v>
      </c>
      <c r="C14" s="10"/>
      <c r="D14" s="10" t="s">
        <v>14656</v>
      </c>
      <c r="E14" s="10" t="s">
        <v>14657</v>
      </c>
      <c r="F14" s="10" t="s">
        <v>14658</v>
      </c>
      <c r="G14" s="10" t="s">
        <v>14659</v>
      </c>
      <c r="H14" s="10" t="s">
        <v>14660</v>
      </c>
      <c r="I14" s="12" t="s">
        <v>84</v>
      </c>
      <c r="J14" s="10" t="s">
        <v>14661</v>
      </c>
      <c r="K14" s="10"/>
      <c r="L14" s="10" t="s">
        <v>14639</v>
      </c>
      <c r="M14" s="10" t="s">
        <v>9</v>
      </c>
      <c r="N14" s="10" t="s">
        <v>14662</v>
      </c>
      <c r="O14" s="10" t="s">
        <v>816</v>
      </c>
      <c r="P14" s="10" t="s">
        <v>2629</v>
      </c>
      <c r="Q14" s="10"/>
    </row>
    <row r="15" spans="1:17" ht="409.6" customHeight="1" x14ac:dyDescent="0.25">
      <c r="A15" s="12" t="s">
        <v>10130</v>
      </c>
      <c r="B15" s="10" t="s">
        <v>14663</v>
      </c>
      <c r="C15" s="10"/>
      <c r="D15" s="10" t="s">
        <v>14604</v>
      </c>
      <c r="E15" s="10" t="s">
        <v>14664</v>
      </c>
      <c r="F15" s="10" t="s">
        <v>14665</v>
      </c>
      <c r="G15" s="10" t="s">
        <v>14666</v>
      </c>
      <c r="H15" s="10" t="s">
        <v>14667</v>
      </c>
      <c r="I15" s="12" t="s">
        <v>84</v>
      </c>
      <c r="J15" s="10" t="s">
        <v>14668</v>
      </c>
      <c r="K15" s="10"/>
      <c r="L15" s="10" t="s">
        <v>14639</v>
      </c>
      <c r="M15" s="10" t="s">
        <v>9</v>
      </c>
      <c r="N15" s="10" t="s">
        <v>14669</v>
      </c>
      <c r="O15" s="10" t="s">
        <v>164</v>
      </c>
      <c r="P15" s="10" t="s">
        <v>3561</v>
      </c>
      <c r="Q15" s="10"/>
    </row>
    <row r="16" spans="1:17" ht="409.6" customHeight="1" x14ac:dyDescent="0.25">
      <c r="A16" s="12" t="s">
        <v>10137</v>
      </c>
      <c r="B16" s="10" t="s">
        <v>14670</v>
      </c>
      <c r="C16" s="10"/>
      <c r="D16" s="10" t="s">
        <v>14666</v>
      </c>
      <c r="E16" s="10" t="s">
        <v>14667</v>
      </c>
      <c r="F16" s="10" t="s">
        <v>14671</v>
      </c>
      <c r="G16" s="10" t="s">
        <v>14595</v>
      </c>
      <c r="H16" s="10" t="s">
        <v>14596</v>
      </c>
      <c r="I16" s="12" t="s">
        <v>84</v>
      </c>
      <c r="J16" s="10" t="s">
        <v>14672</v>
      </c>
      <c r="K16" s="10"/>
      <c r="L16" s="10" t="s">
        <v>14271</v>
      </c>
      <c r="M16" s="10" t="s">
        <v>9</v>
      </c>
      <c r="N16" s="10" t="s">
        <v>14673</v>
      </c>
      <c r="O16" s="10" t="s">
        <v>164</v>
      </c>
      <c r="P16" s="10" t="s">
        <v>3561</v>
      </c>
      <c r="Q16" s="10"/>
    </row>
    <row r="17" spans="1:17" ht="409.6" customHeight="1" x14ac:dyDescent="0.25">
      <c r="A17" s="12" t="s">
        <v>10142</v>
      </c>
      <c r="B17" s="10" t="s">
        <v>14674</v>
      </c>
      <c r="C17" s="10"/>
      <c r="D17" s="10" t="s">
        <v>14595</v>
      </c>
      <c r="E17" s="10" t="s">
        <v>14596</v>
      </c>
      <c r="F17" s="10" t="s">
        <v>14675</v>
      </c>
      <c r="G17" s="10" t="s">
        <v>14676</v>
      </c>
      <c r="H17" s="10" t="s">
        <v>14604</v>
      </c>
      <c r="I17" s="12" t="s">
        <v>84</v>
      </c>
      <c r="J17" s="10" t="s">
        <v>14677</v>
      </c>
      <c r="K17" s="10"/>
      <c r="L17" s="10" t="s">
        <v>14271</v>
      </c>
      <c r="M17" s="10" t="s">
        <v>9</v>
      </c>
      <c r="N17" s="10" t="s">
        <v>14678</v>
      </c>
      <c r="O17" s="10" t="s">
        <v>164</v>
      </c>
      <c r="P17" s="10" t="s">
        <v>3561</v>
      </c>
      <c r="Q17" s="10"/>
    </row>
    <row r="18" spans="1:17" ht="409.6" customHeight="1" x14ac:dyDescent="0.25">
      <c r="A18" s="12" t="s">
        <v>10146</v>
      </c>
      <c r="B18" s="10" t="s">
        <v>14679</v>
      </c>
      <c r="C18" s="10"/>
      <c r="D18" s="10" t="s">
        <v>14680</v>
      </c>
      <c r="E18" s="10" t="s">
        <v>14681</v>
      </c>
      <c r="F18" s="10" t="s">
        <v>14682</v>
      </c>
      <c r="G18" s="10" t="s">
        <v>14683</v>
      </c>
      <c r="H18" s="10" t="s">
        <v>14684</v>
      </c>
      <c r="I18" s="12" t="s">
        <v>84</v>
      </c>
      <c r="J18" s="10" t="s">
        <v>14685</v>
      </c>
      <c r="K18" s="10"/>
      <c r="L18" s="10" t="s">
        <v>14639</v>
      </c>
      <c r="M18" s="10" t="s">
        <v>9</v>
      </c>
      <c r="N18" s="10" t="s">
        <v>14686</v>
      </c>
      <c r="O18" s="10" t="s">
        <v>164</v>
      </c>
      <c r="P18" s="10" t="s">
        <v>2706</v>
      </c>
      <c r="Q18" s="10"/>
    </row>
    <row r="19" spans="1:17" ht="409.6" customHeight="1" x14ac:dyDescent="0.25">
      <c r="A19" s="12" t="s">
        <v>10154</v>
      </c>
      <c r="B19" s="10" t="s">
        <v>14352</v>
      </c>
      <c r="C19" s="10"/>
      <c r="D19" s="10" t="s">
        <v>14665</v>
      </c>
      <c r="E19" s="10" t="s">
        <v>14666</v>
      </c>
      <c r="F19" s="10" t="s">
        <v>14667</v>
      </c>
      <c r="G19" s="10" t="s">
        <v>14671</v>
      </c>
      <c r="H19" s="10" t="s">
        <v>14595</v>
      </c>
      <c r="I19" s="12" t="s">
        <v>84</v>
      </c>
      <c r="J19" s="10" t="s">
        <v>14687</v>
      </c>
      <c r="K19" s="10"/>
      <c r="L19" s="10" t="s">
        <v>14271</v>
      </c>
      <c r="M19" s="10" t="s">
        <v>9</v>
      </c>
      <c r="N19" s="10" t="s">
        <v>6873</v>
      </c>
      <c r="O19" s="10" t="s">
        <v>164</v>
      </c>
      <c r="P19" s="10" t="s">
        <v>2706</v>
      </c>
      <c r="Q19" s="10"/>
    </row>
    <row r="20" spans="1:17" ht="409.6" customHeight="1" x14ac:dyDescent="0.25">
      <c r="A20" s="12" t="s">
        <v>10162</v>
      </c>
      <c r="B20" s="10" t="s">
        <v>14359</v>
      </c>
      <c r="C20" s="10"/>
      <c r="D20" s="10" t="s">
        <v>14671</v>
      </c>
      <c r="E20" s="10" t="s">
        <v>14595</v>
      </c>
      <c r="F20" s="10" t="s">
        <v>14596</v>
      </c>
      <c r="G20" s="10" t="s">
        <v>14675</v>
      </c>
      <c r="H20" s="10" t="s">
        <v>14676</v>
      </c>
      <c r="I20" s="12" t="s">
        <v>84</v>
      </c>
      <c r="J20" s="10" t="s">
        <v>14688</v>
      </c>
      <c r="K20" s="10"/>
      <c r="L20" s="10" t="s">
        <v>14639</v>
      </c>
      <c r="M20" s="10" t="s">
        <v>9</v>
      </c>
      <c r="N20" s="10" t="s">
        <v>6873</v>
      </c>
      <c r="O20" s="10" t="s">
        <v>164</v>
      </c>
      <c r="P20" s="10" t="s">
        <v>2706</v>
      </c>
      <c r="Q20" s="10"/>
    </row>
    <row r="21" spans="1:17" ht="409.6" customHeight="1" x14ac:dyDescent="0.25">
      <c r="A21" s="12" t="s">
        <v>10169</v>
      </c>
      <c r="B21" s="10" t="s">
        <v>14689</v>
      </c>
      <c r="C21" s="10"/>
      <c r="D21" s="10" t="s">
        <v>14690</v>
      </c>
      <c r="E21" s="10" t="s">
        <v>14203</v>
      </c>
      <c r="F21" s="10" t="s">
        <v>14396</v>
      </c>
      <c r="G21" s="10" t="s">
        <v>14271</v>
      </c>
      <c r="H21" s="10" t="s">
        <v>14202</v>
      </c>
      <c r="I21" s="12" t="s">
        <v>84</v>
      </c>
      <c r="J21" s="10" t="s">
        <v>14691</v>
      </c>
      <c r="K21" s="10" t="s">
        <v>14692</v>
      </c>
      <c r="L21" s="10" t="s">
        <v>14693</v>
      </c>
      <c r="M21" s="10" t="s">
        <v>9</v>
      </c>
      <c r="N21" s="10" t="s">
        <v>14694</v>
      </c>
      <c r="O21" s="10" t="s">
        <v>164</v>
      </c>
      <c r="P21" s="10" t="s">
        <v>2707</v>
      </c>
      <c r="Q21" s="10"/>
    </row>
    <row r="22" spans="1:17" ht="409.6" customHeight="1" x14ac:dyDescent="0.25">
      <c r="A22" s="12" t="s">
        <v>10177</v>
      </c>
      <c r="B22" s="10" t="s">
        <v>14695</v>
      </c>
      <c r="C22" s="10"/>
      <c r="D22" s="10" t="s">
        <v>14696</v>
      </c>
      <c r="E22" s="10" t="s">
        <v>14697</v>
      </c>
      <c r="F22" s="10" t="s">
        <v>14698</v>
      </c>
      <c r="G22" s="10" t="s">
        <v>14699</v>
      </c>
      <c r="H22" s="10" t="s">
        <v>14700</v>
      </c>
      <c r="I22" s="12" t="s">
        <v>84</v>
      </c>
      <c r="J22" s="10" t="s">
        <v>14701</v>
      </c>
      <c r="K22" s="10" t="s">
        <v>14639</v>
      </c>
      <c r="L22" s="10" t="s">
        <v>14702</v>
      </c>
      <c r="M22" s="10" t="s">
        <v>9</v>
      </c>
      <c r="N22" s="10" t="s">
        <v>3699</v>
      </c>
      <c r="O22" s="10" t="s">
        <v>164</v>
      </c>
      <c r="P22" s="10" t="s">
        <v>2709</v>
      </c>
      <c r="Q22" s="10"/>
    </row>
    <row r="23" spans="1:17" ht="409.6" customHeight="1" x14ac:dyDescent="0.25">
      <c r="A23" s="12" t="s">
        <v>10183</v>
      </c>
      <c r="B23" s="10" t="s">
        <v>14447</v>
      </c>
      <c r="C23" s="10"/>
      <c r="D23" s="10" t="s">
        <v>14667</v>
      </c>
      <c r="E23" s="10" t="s">
        <v>14671</v>
      </c>
      <c r="F23" s="10" t="s">
        <v>14595</v>
      </c>
      <c r="G23" s="10" t="s">
        <v>14596</v>
      </c>
      <c r="H23" s="10" t="s">
        <v>14675</v>
      </c>
      <c r="I23" s="12" t="s">
        <v>84</v>
      </c>
      <c r="J23" s="10" t="s">
        <v>14703</v>
      </c>
      <c r="K23" s="10"/>
      <c r="L23" s="10" t="s">
        <v>14639</v>
      </c>
      <c r="M23" s="10" t="s">
        <v>9</v>
      </c>
      <c r="N23" s="10" t="s">
        <v>6181</v>
      </c>
      <c r="O23" s="10" t="s">
        <v>164</v>
      </c>
      <c r="P23" s="10" t="s">
        <v>2709</v>
      </c>
      <c r="Q23" s="10"/>
    </row>
    <row r="24" spans="1:17" ht="409.6" customHeight="1" x14ac:dyDescent="0.25">
      <c r="A24" s="12" t="s">
        <v>10189</v>
      </c>
      <c r="B24" s="10" t="s">
        <v>14704</v>
      </c>
      <c r="C24" s="10"/>
      <c r="D24" s="10" t="s">
        <v>330</v>
      </c>
      <c r="E24" s="10" t="s">
        <v>14705</v>
      </c>
      <c r="F24" s="10" t="s">
        <v>14706</v>
      </c>
      <c r="G24" s="10" t="s">
        <v>14707</v>
      </c>
      <c r="H24" s="10" t="s">
        <v>14708</v>
      </c>
      <c r="I24" s="12" t="s">
        <v>84</v>
      </c>
      <c r="J24" s="10" t="s">
        <v>14709</v>
      </c>
      <c r="K24" s="10"/>
      <c r="L24" s="10" t="s">
        <v>14271</v>
      </c>
      <c r="M24" s="10" t="s">
        <v>9</v>
      </c>
      <c r="N24" s="10" t="s">
        <v>10487</v>
      </c>
      <c r="O24" s="10" t="s">
        <v>816</v>
      </c>
      <c r="P24" s="10" t="s">
        <v>2710</v>
      </c>
      <c r="Q24" s="10"/>
    </row>
    <row r="25" spans="1:17" ht="409.6" customHeight="1" x14ac:dyDescent="0.25">
      <c r="A25" s="12" t="s">
        <v>10197</v>
      </c>
      <c r="B25" s="10" t="s">
        <v>14710</v>
      </c>
      <c r="C25" s="10"/>
      <c r="D25" s="10" t="s">
        <v>14711</v>
      </c>
      <c r="E25" s="10" t="s">
        <v>14712</v>
      </c>
      <c r="F25" s="10" t="s">
        <v>14713</v>
      </c>
      <c r="G25" s="10" t="s">
        <v>14714</v>
      </c>
      <c r="H25" s="10" t="s">
        <v>14715</v>
      </c>
      <c r="I25" s="12" t="s">
        <v>84</v>
      </c>
      <c r="J25" s="10" t="s">
        <v>14716</v>
      </c>
      <c r="K25" s="10"/>
      <c r="L25" s="10" t="s">
        <v>14639</v>
      </c>
      <c r="M25" s="10" t="s">
        <v>9</v>
      </c>
      <c r="N25" s="10" t="s">
        <v>7496</v>
      </c>
      <c r="O25" s="10" t="s">
        <v>816</v>
      </c>
      <c r="P25" s="10" t="s">
        <v>2710</v>
      </c>
      <c r="Q25" s="10"/>
    </row>
    <row r="26" spans="1:17" ht="409.6" customHeight="1" x14ac:dyDescent="0.25">
      <c r="A26" s="12" t="s">
        <v>10207</v>
      </c>
      <c r="B26" s="10" t="s">
        <v>14717</v>
      </c>
      <c r="C26" s="10"/>
      <c r="D26" s="10" t="s">
        <v>14666</v>
      </c>
      <c r="E26" s="10" t="s">
        <v>14667</v>
      </c>
      <c r="F26" s="10" t="s">
        <v>14671</v>
      </c>
      <c r="G26" s="10" t="s">
        <v>14595</v>
      </c>
      <c r="H26" s="10" t="s">
        <v>14596</v>
      </c>
      <c r="I26" s="12" t="s">
        <v>84</v>
      </c>
      <c r="J26" s="10" t="s">
        <v>14718</v>
      </c>
      <c r="K26" s="10"/>
      <c r="L26" s="10" t="s">
        <v>14639</v>
      </c>
      <c r="M26" s="10" t="s">
        <v>9</v>
      </c>
      <c r="N26" s="10" t="s">
        <v>2655</v>
      </c>
      <c r="O26" s="10" t="s">
        <v>816</v>
      </c>
      <c r="P26" s="10" t="s">
        <v>2711</v>
      </c>
      <c r="Q26" s="10"/>
    </row>
    <row r="27" spans="1:17" ht="409.6" x14ac:dyDescent="0.25">
      <c r="A27" s="35">
        <v>25</v>
      </c>
      <c r="B27" s="34" t="s">
        <v>14719</v>
      </c>
      <c r="C27" s="35"/>
      <c r="D27" s="34" t="s">
        <v>14720</v>
      </c>
      <c r="E27" s="34" t="s">
        <v>14721</v>
      </c>
      <c r="F27" s="34" t="s">
        <v>14722</v>
      </c>
      <c r="G27" s="34" t="s">
        <v>14723</v>
      </c>
      <c r="H27" s="34" t="s">
        <v>14724</v>
      </c>
      <c r="I27" s="35">
        <v>1</v>
      </c>
      <c r="J27" s="34" t="s">
        <v>14725</v>
      </c>
      <c r="K27" s="35"/>
      <c r="L27" s="34" t="s">
        <v>14726</v>
      </c>
      <c r="M27" s="35" t="s">
        <v>9</v>
      </c>
      <c r="N27" s="34" t="s">
        <v>14727</v>
      </c>
      <c r="O27" s="35" t="s">
        <v>164</v>
      </c>
      <c r="P27" s="35" t="s">
        <v>2017</v>
      </c>
    </row>
    <row r="28" spans="1:17" ht="409.6" x14ac:dyDescent="0.25">
      <c r="A28" s="35">
        <v>26</v>
      </c>
      <c r="B28" s="34" t="s">
        <v>14728</v>
      </c>
      <c r="C28" s="35"/>
      <c r="D28" s="34" t="s">
        <v>14729</v>
      </c>
      <c r="E28" s="34" t="s">
        <v>14730</v>
      </c>
      <c r="F28" s="34" t="s">
        <v>14536</v>
      </c>
      <c r="G28" s="34" t="s">
        <v>14731</v>
      </c>
      <c r="H28" s="34"/>
      <c r="I28" s="35">
        <v>1</v>
      </c>
      <c r="J28" s="34" t="s">
        <v>14732</v>
      </c>
      <c r="K28" s="35"/>
      <c r="L28" s="34" t="s">
        <v>14726</v>
      </c>
      <c r="M28" s="35" t="s">
        <v>9</v>
      </c>
      <c r="N28" s="34" t="s">
        <v>14733</v>
      </c>
      <c r="O28" s="35" t="s">
        <v>164</v>
      </c>
      <c r="P28" s="35" t="s">
        <v>2017</v>
      </c>
    </row>
    <row r="29" spans="1:17" ht="409.6" x14ac:dyDescent="0.25">
      <c r="A29" s="35">
        <v>27</v>
      </c>
      <c r="B29" s="34" t="s">
        <v>14734</v>
      </c>
      <c r="C29" s="35"/>
      <c r="D29" s="34" t="s">
        <v>14735</v>
      </c>
      <c r="E29" s="34" t="s">
        <v>14736</v>
      </c>
      <c r="F29" s="34" t="s">
        <v>14737</v>
      </c>
      <c r="G29" s="34" t="s">
        <v>14738</v>
      </c>
      <c r="H29" s="34" t="s">
        <v>14739</v>
      </c>
      <c r="I29" s="35">
        <v>3</v>
      </c>
      <c r="J29" s="34" t="s">
        <v>14740</v>
      </c>
      <c r="K29" s="35"/>
      <c r="L29" s="34" t="s">
        <v>14726</v>
      </c>
      <c r="M29" s="35" t="s">
        <v>9</v>
      </c>
      <c r="N29" s="34" t="s">
        <v>14741</v>
      </c>
      <c r="O29" s="35" t="s">
        <v>164</v>
      </c>
      <c r="P29" s="35" t="s">
        <v>2017</v>
      </c>
    </row>
    <row r="30" spans="1:17" ht="409.6" x14ac:dyDescent="0.25">
      <c r="A30" s="35">
        <v>28</v>
      </c>
      <c r="B30" s="34" t="s">
        <v>14742</v>
      </c>
      <c r="C30" s="35"/>
      <c r="D30" s="34" t="s">
        <v>14743</v>
      </c>
      <c r="E30" s="34" t="s">
        <v>14744</v>
      </c>
      <c r="F30" s="34" t="s">
        <v>14745</v>
      </c>
      <c r="G30" s="34" t="s">
        <v>14746</v>
      </c>
      <c r="H30" s="34" t="s">
        <v>14747</v>
      </c>
      <c r="I30" s="35">
        <v>1</v>
      </c>
      <c r="J30" s="34" t="s">
        <v>14748</v>
      </c>
      <c r="K30" s="35"/>
      <c r="L30" s="34" t="s">
        <v>14726</v>
      </c>
      <c r="M30" s="35" t="s">
        <v>9</v>
      </c>
      <c r="N30" s="34" t="s">
        <v>14749</v>
      </c>
      <c r="O30" s="35" t="s">
        <v>164</v>
      </c>
      <c r="P30" s="35" t="s">
        <v>2109</v>
      </c>
    </row>
    <row r="31" spans="1:17" ht="409.6" x14ac:dyDescent="0.25">
      <c r="A31" s="35">
        <v>29</v>
      </c>
      <c r="B31" s="34" t="s">
        <v>14750</v>
      </c>
      <c r="C31" s="35"/>
      <c r="D31" s="34" t="s">
        <v>14751</v>
      </c>
      <c r="E31" s="34" t="s">
        <v>14752</v>
      </c>
      <c r="F31" s="34" t="s">
        <v>14753</v>
      </c>
      <c r="G31" s="34" t="s">
        <v>14754</v>
      </c>
      <c r="H31" s="34" t="s">
        <v>14755</v>
      </c>
      <c r="I31" s="35">
        <v>1</v>
      </c>
      <c r="J31" s="34" t="s">
        <v>14756</v>
      </c>
      <c r="K31" s="35"/>
      <c r="L31" s="34" t="s">
        <v>14726</v>
      </c>
      <c r="M31" s="35" t="s">
        <v>9</v>
      </c>
      <c r="N31" s="34" t="s">
        <v>14757</v>
      </c>
      <c r="O31" s="35" t="s">
        <v>164</v>
      </c>
      <c r="P31" s="35" t="s">
        <v>2109</v>
      </c>
    </row>
    <row r="32" spans="1:17" ht="409.6" x14ac:dyDescent="0.25">
      <c r="A32" s="35">
        <v>30</v>
      </c>
      <c r="B32" s="34" t="s">
        <v>14758</v>
      </c>
      <c r="C32" s="35" t="s">
        <v>14759</v>
      </c>
      <c r="D32" s="34" t="s">
        <v>14760</v>
      </c>
      <c r="E32" s="34" t="s">
        <v>14761</v>
      </c>
      <c r="F32" s="34" t="s">
        <v>14762</v>
      </c>
      <c r="G32" s="34" t="s">
        <v>14763</v>
      </c>
      <c r="H32" s="34" t="s">
        <v>14764</v>
      </c>
      <c r="I32" s="35">
        <v>1</v>
      </c>
      <c r="J32" s="34" t="s">
        <v>14765</v>
      </c>
      <c r="K32" s="35"/>
      <c r="L32" s="34" t="s">
        <v>14726</v>
      </c>
      <c r="M32" s="35" t="s">
        <v>9</v>
      </c>
      <c r="N32" s="34" t="s">
        <v>14766</v>
      </c>
      <c r="O32" s="35" t="s">
        <v>164</v>
      </c>
      <c r="P32" s="35" t="s">
        <v>2109</v>
      </c>
    </row>
    <row r="33" spans="1:16" ht="409.6" x14ac:dyDescent="0.25">
      <c r="A33" s="35">
        <v>31</v>
      </c>
      <c r="B33" s="34" t="s">
        <v>14767</v>
      </c>
      <c r="C33" s="35"/>
      <c r="D33" s="34" t="s">
        <v>14768</v>
      </c>
      <c r="E33" s="34" t="s">
        <v>14230</v>
      </c>
      <c r="F33" s="34" t="s">
        <v>14769</v>
      </c>
      <c r="G33" s="34" t="s">
        <v>14770</v>
      </c>
      <c r="H33" s="34" t="s">
        <v>14771</v>
      </c>
      <c r="I33" s="35">
        <v>1</v>
      </c>
      <c r="J33" s="34" t="s">
        <v>14772</v>
      </c>
      <c r="K33" s="35"/>
      <c r="L33" s="34" t="s">
        <v>14726</v>
      </c>
      <c r="M33" s="35" t="s">
        <v>9</v>
      </c>
      <c r="N33" s="34" t="s">
        <v>14773</v>
      </c>
      <c r="O33" s="35" t="s">
        <v>164</v>
      </c>
      <c r="P33" s="35" t="s">
        <v>2155</v>
      </c>
    </row>
    <row r="34" spans="1:16" ht="409.6" x14ac:dyDescent="0.25">
      <c r="A34" s="35">
        <v>32</v>
      </c>
      <c r="B34" s="34" t="s">
        <v>14774</v>
      </c>
      <c r="C34" s="35" t="s">
        <v>14775</v>
      </c>
      <c r="D34" s="34" t="s">
        <v>14776</v>
      </c>
      <c r="E34" s="34" t="s">
        <v>14777</v>
      </c>
      <c r="F34" s="34" t="s">
        <v>14778</v>
      </c>
      <c r="G34" s="34" t="s">
        <v>14779</v>
      </c>
      <c r="H34" s="34" t="s">
        <v>14780</v>
      </c>
      <c r="I34" s="35">
        <v>1</v>
      </c>
      <c r="J34" s="34" t="s">
        <v>14781</v>
      </c>
      <c r="K34" s="35"/>
      <c r="L34" s="34" t="s">
        <v>14726</v>
      </c>
      <c r="M34" s="35" t="s">
        <v>9</v>
      </c>
      <c r="N34" s="34" t="s">
        <v>14782</v>
      </c>
      <c r="O34" s="35" t="s">
        <v>164</v>
      </c>
      <c r="P34" s="35" t="s">
        <v>2155</v>
      </c>
    </row>
    <row r="35" spans="1:16" ht="409.6" x14ac:dyDescent="0.25">
      <c r="A35" s="35">
        <v>33</v>
      </c>
      <c r="B35" s="34" t="s">
        <v>14783</v>
      </c>
      <c r="C35" s="35" t="s">
        <v>14784</v>
      </c>
      <c r="D35" s="34" t="s">
        <v>14785</v>
      </c>
      <c r="E35" s="34" t="s">
        <v>14786</v>
      </c>
      <c r="F35" s="34" t="s">
        <v>14787</v>
      </c>
      <c r="G35" s="34" t="s">
        <v>14788</v>
      </c>
      <c r="H35" s="34" t="s">
        <v>14789</v>
      </c>
      <c r="I35" s="35">
        <v>1</v>
      </c>
      <c r="J35" s="34" t="s">
        <v>14790</v>
      </c>
      <c r="K35" s="35"/>
      <c r="L35" s="34" t="s">
        <v>14726</v>
      </c>
      <c r="M35" s="35" t="s">
        <v>9</v>
      </c>
      <c r="N35" s="34" t="s">
        <v>14791</v>
      </c>
      <c r="O35" s="35" t="s">
        <v>164</v>
      </c>
      <c r="P35" s="35" t="s">
        <v>2155</v>
      </c>
    </row>
    <row r="36" spans="1:16" ht="409.6" x14ac:dyDescent="0.25">
      <c r="A36" s="35">
        <v>34</v>
      </c>
      <c r="B36" s="34" t="s">
        <v>14792</v>
      </c>
      <c r="C36" s="35" t="s">
        <v>14793</v>
      </c>
      <c r="D36" s="34" t="s">
        <v>14794</v>
      </c>
      <c r="E36" s="34" t="s">
        <v>14795</v>
      </c>
      <c r="F36" s="34" t="s">
        <v>4740</v>
      </c>
      <c r="G36" s="34" t="s">
        <v>10342</v>
      </c>
      <c r="H36" s="34" t="s">
        <v>14796</v>
      </c>
      <c r="I36" s="35">
        <v>1</v>
      </c>
      <c r="J36" s="34" t="s">
        <v>14797</v>
      </c>
      <c r="K36" s="35"/>
      <c r="L36" s="34" t="s">
        <v>14726</v>
      </c>
      <c r="M36" s="35" t="s">
        <v>9</v>
      </c>
      <c r="N36" s="34" t="s">
        <v>14798</v>
      </c>
      <c r="O36" s="35" t="s">
        <v>164</v>
      </c>
      <c r="P36" s="35" t="s">
        <v>2155</v>
      </c>
    </row>
    <row r="37" spans="1:16" ht="409.6" x14ac:dyDescent="0.25">
      <c r="A37" s="35">
        <v>35</v>
      </c>
      <c r="B37" s="34" t="s">
        <v>14799</v>
      </c>
      <c r="C37" s="35"/>
      <c r="D37" s="34" t="s">
        <v>14800</v>
      </c>
      <c r="E37" s="34" t="s">
        <v>14801</v>
      </c>
      <c r="F37" s="34" t="s">
        <v>14802</v>
      </c>
      <c r="G37" s="34" t="s">
        <v>14803</v>
      </c>
      <c r="H37" s="34" t="s">
        <v>14804</v>
      </c>
      <c r="I37" s="35">
        <v>1</v>
      </c>
      <c r="J37" s="34" t="s">
        <v>14805</v>
      </c>
      <c r="K37" s="35"/>
      <c r="L37" s="34" t="s">
        <v>14726</v>
      </c>
      <c r="M37" s="35" t="s">
        <v>9</v>
      </c>
      <c r="N37" s="34" t="s">
        <v>14806</v>
      </c>
      <c r="O37" s="35" t="s">
        <v>164</v>
      </c>
      <c r="P37" s="35" t="s">
        <v>2155</v>
      </c>
    </row>
    <row r="38" spans="1:16" ht="409.6" x14ac:dyDescent="0.25">
      <c r="A38" s="35">
        <v>36</v>
      </c>
      <c r="B38" s="34" t="s">
        <v>14807</v>
      </c>
      <c r="C38" s="35" t="s">
        <v>14808</v>
      </c>
      <c r="D38" s="34" t="s">
        <v>14809</v>
      </c>
      <c r="E38" s="34" t="s">
        <v>14810</v>
      </c>
      <c r="F38" s="34" t="s">
        <v>14811</v>
      </c>
      <c r="G38" s="34" t="s">
        <v>14812</v>
      </c>
      <c r="H38" s="34" t="s">
        <v>14813</v>
      </c>
      <c r="I38" s="35">
        <v>1</v>
      </c>
      <c r="J38" s="34" t="s">
        <v>14814</v>
      </c>
      <c r="K38" s="35"/>
      <c r="L38" s="34" t="s">
        <v>14726</v>
      </c>
      <c r="M38" s="35" t="s">
        <v>9</v>
      </c>
      <c r="N38" s="34" t="s">
        <v>14815</v>
      </c>
      <c r="O38" s="35" t="s">
        <v>164</v>
      </c>
      <c r="P38" s="35" t="s">
        <v>2155</v>
      </c>
    </row>
    <row r="39" spans="1:16" ht="409.6" x14ac:dyDescent="0.25">
      <c r="A39" s="35">
        <v>37</v>
      </c>
      <c r="B39" s="34" t="s">
        <v>14816</v>
      </c>
      <c r="C39" s="35"/>
      <c r="D39" s="34" t="s">
        <v>14817</v>
      </c>
      <c r="E39" s="34" t="s">
        <v>14818</v>
      </c>
      <c r="F39" s="34" t="s">
        <v>14819</v>
      </c>
      <c r="G39" s="34" t="s">
        <v>14820</v>
      </c>
      <c r="H39" s="34" t="s">
        <v>14821</v>
      </c>
      <c r="I39" s="35">
        <v>1</v>
      </c>
      <c r="J39" s="34" t="s">
        <v>14822</v>
      </c>
      <c r="K39" s="35"/>
      <c r="L39" s="34" t="s">
        <v>14726</v>
      </c>
      <c r="M39" s="35" t="s">
        <v>9</v>
      </c>
      <c r="N39" s="34" t="s">
        <v>14823</v>
      </c>
      <c r="O39" s="35" t="s">
        <v>164</v>
      </c>
      <c r="P39" s="35" t="s">
        <v>2155</v>
      </c>
    </row>
    <row r="40" spans="1:16" ht="409.6" x14ac:dyDescent="0.25">
      <c r="A40" s="35">
        <v>38</v>
      </c>
      <c r="B40" s="34" t="s">
        <v>14824</v>
      </c>
      <c r="C40" s="35"/>
      <c r="D40" s="34" t="s">
        <v>14825</v>
      </c>
      <c r="E40" s="34" t="s">
        <v>14826</v>
      </c>
      <c r="F40" s="34" t="s">
        <v>14827</v>
      </c>
      <c r="G40" s="34" t="s">
        <v>14828</v>
      </c>
      <c r="H40" s="34" t="s">
        <v>14829</v>
      </c>
      <c r="I40" s="35">
        <v>1</v>
      </c>
      <c r="J40" s="34" t="s">
        <v>14830</v>
      </c>
      <c r="K40" s="35"/>
      <c r="L40" s="34" t="s">
        <v>14726</v>
      </c>
      <c r="M40" s="35" t="s">
        <v>9</v>
      </c>
      <c r="N40" s="34" t="s">
        <v>14831</v>
      </c>
      <c r="O40" s="35" t="s">
        <v>164</v>
      </c>
      <c r="P40" s="35" t="s">
        <v>2155</v>
      </c>
    </row>
    <row r="41" spans="1:16" ht="409.6" x14ac:dyDescent="0.25">
      <c r="A41" s="35">
        <v>39</v>
      </c>
      <c r="B41" s="34" t="s">
        <v>14832</v>
      </c>
      <c r="C41" s="35"/>
      <c r="D41" s="34" t="s">
        <v>14833</v>
      </c>
      <c r="E41" s="34" t="s">
        <v>14834</v>
      </c>
      <c r="F41" s="34" t="s">
        <v>14835</v>
      </c>
      <c r="G41" s="34" t="s">
        <v>14836</v>
      </c>
      <c r="H41" s="34" t="s">
        <v>14837</v>
      </c>
      <c r="I41" s="35">
        <v>1</v>
      </c>
      <c r="J41" s="34" t="s">
        <v>14838</v>
      </c>
      <c r="K41" s="35"/>
      <c r="L41" s="34" t="s">
        <v>14726</v>
      </c>
      <c r="M41" s="35" t="s">
        <v>9</v>
      </c>
      <c r="N41" s="34" t="s">
        <v>14839</v>
      </c>
      <c r="O41" s="35" t="s">
        <v>164</v>
      </c>
      <c r="P41" s="35" t="s">
        <v>2155</v>
      </c>
    </row>
    <row r="42" spans="1:16" ht="409.6" x14ac:dyDescent="0.25">
      <c r="A42" s="35">
        <v>40</v>
      </c>
      <c r="B42" s="34" t="s">
        <v>14840</v>
      </c>
      <c r="C42" s="35" t="s">
        <v>14841</v>
      </c>
      <c r="D42" s="34" t="s">
        <v>14842</v>
      </c>
      <c r="E42" s="34" t="s">
        <v>14843</v>
      </c>
      <c r="F42" s="34" t="s">
        <v>14844</v>
      </c>
      <c r="G42" s="34" t="s">
        <v>14845</v>
      </c>
      <c r="H42" s="34" t="s">
        <v>14846</v>
      </c>
      <c r="I42" s="35">
        <v>1</v>
      </c>
      <c r="J42" s="34" t="s">
        <v>14847</v>
      </c>
      <c r="K42" s="35"/>
      <c r="L42" s="34" t="s">
        <v>14726</v>
      </c>
      <c r="M42" s="35" t="s">
        <v>9</v>
      </c>
      <c r="N42" s="34" t="s">
        <v>14848</v>
      </c>
      <c r="O42" s="35" t="s">
        <v>164</v>
      </c>
      <c r="P42" s="35" t="s">
        <v>2155</v>
      </c>
    </row>
    <row r="43" spans="1:16" ht="409.6" x14ac:dyDescent="0.25">
      <c r="A43" s="35">
        <v>41</v>
      </c>
      <c r="B43" s="34" t="s">
        <v>14849</v>
      </c>
      <c r="C43" s="35"/>
      <c r="D43" s="34" t="s">
        <v>14850</v>
      </c>
      <c r="E43" s="34" t="s">
        <v>14851</v>
      </c>
      <c r="F43" s="34" t="s">
        <v>14852</v>
      </c>
      <c r="G43" s="34" t="s">
        <v>14853</v>
      </c>
      <c r="H43" s="34" t="s">
        <v>14854</v>
      </c>
      <c r="I43" s="35">
        <v>1</v>
      </c>
      <c r="J43" s="34" t="s">
        <v>14855</v>
      </c>
      <c r="K43" s="35"/>
      <c r="L43" s="34" t="s">
        <v>14726</v>
      </c>
      <c r="M43" s="35" t="s">
        <v>9</v>
      </c>
      <c r="N43" s="34" t="s">
        <v>14856</v>
      </c>
      <c r="O43" s="35" t="s">
        <v>164</v>
      </c>
      <c r="P43" s="35" t="s">
        <v>2155</v>
      </c>
    </row>
    <row r="44" spans="1:16" ht="409.6" x14ac:dyDescent="0.25">
      <c r="A44" s="35">
        <v>42</v>
      </c>
      <c r="B44" s="34" t="s">
        <v>14857</v>
      </c>
      <c r="C44" s="35" t="s">
        <v>14858</v>
      </c>
      <c r="D44" s="34" t="s">
        <v>14859</v>
      </c>
      <c r="E44" s="34" t="s">
        <v>14860</v>
      </c>
      <c r="F44" s="34" t="s">
        <v>14861</v>
      </c>
      <c r="G44" s="34" t="s">
        <v>14485</v>
      </c>
      <c r="H44" s="34" t="s">
        <v>14862</v>
      </c>
      <c r="I44" s="35">
        <v>1</v>
      </c>
      <c r="J44" s="34" t="s">
        <v>14863</v>
      </c>
      <c r="K44" s="35"/>
      <c r="L44" s="34" t="s">
        <v>14726</v>
      </c>
      <c r="M44" s="35" t="s">
        <v>9</v>
      </c>
      <c r="N44" s="34" t="s">
        <v>14864</v>
      </c>
      <c r="O44" s="35" t="s">
        <v>164</v>
      </c>
      <c r="P44" s="35" t="s">
        <v>2155</v>
      </c>
    </row>
    <row r="45" spans="1:16" ht="409.6" x14ac:dyDescent="0.25">
      <c r="A45" s="35">
        <v>43</v>
      </c>
      <c r="B45" s="34" t="s">
        <v>14865</v>
      </c>
      <c r="C45" s="35" t="s">
        <v>14866</v>
      </c>
      <c r="D45" s="34" t="s">
        <v>14867</v>
      </c>
      <c r="E45" s="34" t="s">
        <v>14868</v>
      </c>
      <c r="F45" s="34" t="s">
        <v>14869</v>
      </c>
      <c r="G45" s="34" t="s">
        <v>14870</v>
      </c>
      <c r="H45" s="34" t="s">
        <v>14871</v>
      </c>
      <c r="I45" s="35">
        <v>1</v>
      </c>
      <c r="J45" s="34" t="s">
        <v>14872</v>
      </c>
      <c r="K45" s="35"/>
      <c r="L45" s="34" t="s">
        <v>14726</v>
      </c>
      <c r="M45" s="35" t="s">
        <v>9</v>
      </c>
      <c r="N45" s="34" t="s">
        <v>14873</v>
      </c>
      <c r="O45" s="35" t="s">
        <v>164</v>
      </c>
      <c r="P45" s="35" t="s">
        <v>2155</v>
      </c>
    </row>
    <row r="46" spans="1:16" ht="409.6" x14ac:dyDescent="0.25">
      <c r="A46" s="35">
        <v>44</v>
      </c>
      <c r="B46" s="34" t="s">
        <v>14874</v>
      </c>
      <c r="C46" s="35"/>
      <c r="D46" s="34" t="s">
        <v>14809</v>
      </c>
      <c r="E46" s="34" t="s">
        <v>14810</v>
      </c>
      <c r="F46" s="34" t="s">
        <v>14811</v>
      </c>
      <c r="G46" s="34" t="s">
        <v>14812</v>
      </c>
      <c r="H46" s="34" t="s">
        <v>14875</v>
      </c>
      <c r="I46" s="35">
        <v>4</v>
      </c>
      <c r="J46" s="34" t="s">
        <v>14876</v>
      </c>
      <c r="K46" s="35"/>
      <c r="L46" s="34" t="s">
        <v>14726</v>
      </c>
      <c r="M46" s="35" t="s">
        <v>9</v>
      </c>
      <c r="N46" s="34" t="s">
        <v>14877</v>
      </c>
      <c r="O46" s="35" t="s">
        <v>164</v>
      </c>
      <c r="P46" s="35" t="s">
        <v>3354</v>
      </c>
    </row>
    <row r="47" spans="1:16" ht="409.6" x14ac:dyDescent="0.25">
      <c r="A47" s="35">
        <v>45</v>
      </c>
      <c r="B47" s="34" t="s">
        <v>14878</v>
      </c>
      <c r="C47" s="35"/>
      <c r="D47" s="34" t="s">
        <v>14879</v>
      </c>
      <c r="E47" s="34" t="s">
        <v>14880</v>
      </c>
      <c r="F47" s="34" t="s">
        <v>14881</v>
      </c>
      <c r="G47" s="34" t="s">
        <v>14882</v>
      </c>
      <c r="H47" s="34" t="s">
        <v>14883</v>
      </c>
      <c r="I47" s="35">
        <v>4</v>
      </c>
      <c r="J47" s="34" t="s">
        <v>14884</v>
      </c>
      <c r="K47" s="35"/>
      <c r="L47" s="34" t="s">
        <v>14726</v>
      </c>
      <c r="M47" s="35" t="s">
        <v>9</v>
      </c>
      <c r="N47" s="34" t="s">
        <v>14885</v>
      </c>
      <c r="O47" s="35" t="s">
        <v>164</v>
      </c>
      <c r="P47" s="35" t="s">
        <v>3354</v>
      </c>
    </row>
    <row r="48" spans="1:16" ht="409.6" x14ac:dyDescent="0.25">
      <c r="A48" s="35">
        <v>46</v>
      </c>
      <c r="B48" s="34" t="s">
        <v>14886</v>
      </c>
      <c r="C48" s="35"/>
      <c r="D48" s="34" t="s">
        <v>14887</v>
      </c>
      <c r="E48" s="34" t="s">
        <v>14888</v>
      </c>
      <c r="F48" s="34" t="s">
        <v>14889</v>
      </c>
      <c r="G48" s="34" t="s">
        <v>14890</v>
      </c>
      <c r="H48" s="34" t="s">
        <v>14891</v>
      </c>
      <c r="I48" s="35">
        <v>1</v>
      </c>
      <c r="J48" s="34" t="s">
        <v>14892</v>
      </c>
      <c r="K48" s="35"/>
      <c r="L48" s="34" t="s">
        <v>14726</v>
      </c>
      <c r="M48" s="35" t="s">
        <v>9</v>
      </c>
      <c r="N48" s="34" t="s">
        <v>14522</v>
      </c>
      <c r="O48" s="35" t="s">
        <v>164</v>
      </c>
      <c r="P48" s="35" t="s">
        <v>2206</v>
      </c>
    </row>
    <row r="49" spans="1:16" ht="409.6" x14ac:dyDescent="0.25">
      <c r="A49" s="35">
        <v>47</v>
      </c>
      <c r="B49" s="34" t="s">
        <v>14893</v>
      </c>
      <c r="C49" s="35"/>
      <c r="D49" s="34" t="s">
        <v>14894</v>
      </c>
      <c r="E49" s="34" t="s">
        <v>14895</v>
      </c>
      <c r="F49" s="34" t="s">
        <v>14896</v>
      </c>
      <c r="G49" s="34" t="s">
        <v>14897</v>
      </c>
      <c r="H49" s="34" t="s">
        <v>14898</v>
      </c>
      <c r="I49" s="35">
        <v>1</v>
      </c>
      <c r="J49" s="34" t="s">
        <v>14899</v>
      </c>
      <c r="K49" s="35"/>
      <c r="L49" s="34" t="s">
        <v>14726</v>
      </c>
      <c r="M49" s="35" t="s">
        <v>9</v>
      </c>
      <c r="N49" s="34" t="s">
        <v>14028</v>
      </c>
      <c r="O49" s="35" t="s">
        <v>164</v>
      </c>
      <c r="P49" s="35" t="s">
        <v>2206</v>
      </c>
    </row>
    <row r="50" spans="1:16" ht="409.6" x14ac:dyDescent="0.25">
      <c r="A50" s="35">
        <v>48</v>
      </c>
      <c r="B50" s="34" t="s">
        <v>14900</v>
      </c>
      <c r="C50" s="35"/>
      <c r="D50" s="34" t="s">
        <v>14901</v>
      </c>
      <c r="E50" s="34" t="s">
        <v>14230</v>
      </c>
      <c r="F50" s="34" t="s">
        <v>14902</v>
      </c>
      <c r="G50" s="34" t="s">
        <v>14860</v>
      </c>
      <c r="H50" s="34" t="s">
        <v>14859</v>
      </c>
      <c r="I50" s="35">
        <v>1</v>
      </c>
      <c r="J50" s="34" t="s">
        <v>14903</v>
      </c>
      <c r="K50" s="35"/>
      <c r="L50" s="34" t="s">
        <v>14726</v>
      </c>
      <c r="M50" s="35" t="s">
        <v>9</v>
      </c>
      <c r="N50" s="34" t="s">
        <v>14904</v>
      </c>
      <c r="O50" s="35" t="s">
        <v>164</v>
      </c>
      <c r="P50" s="35" t="s">
        <v>2271</v>
      </c>
    </row>
    <row r="51" spans="1:16" ht="409.6" x14ac:dyDescent="0.25">
      <c r="A51" s="35">
        <v>49</v>
      </c>
      <c r="B51" s="34" t="s">
        <v>14905</v>
      </c>
      <c r="C51" s="35" t="s">
        <v>14906</v>
      </c>
      <c r="D51" s="34" t="s">
        <v>14907</v>
      </c>
      <c r="E51" s="34" t="s">
        <v>14908</v>
      </c>
      <c r="F51" s="34" t="s">
        <v>14909</v>
      </c>
      <c r="G51" s="34" t="s">
        <v>14910</v>
      </c>
      <c r="H51" s="34" t="s">
        <v>14911</v>
      </c>
      <c r="I51" s="35">
        <v>1</v>
      </c>
      <c r="J51" s="34" t="s">
        <v>14912</v>
      </c>
      <c r="K51" s="35"/>
      <c r="L51" s="34" t="s">
        <v>14726</v>
      </c>
      <c r="M51" s="35" t="s">
        <v>9</v>
      </c>
      <c r="N51" s="34" t="s">
        <v>14913</v>
      </c>
      <c r="O51" s="35" t="s">
        <v>164</v>
      </c>
      <c r="P51" s="35" t="s">
        <v>2271</v>
      </c>
    </row>
    <row r="52" spans="1:16" ht="409.6" x14ac:dyDescent="0.25">
      <c r="A52" s="35">
        <v>50</v>
      </c>
      <c r="B52" s="34" t="s">
        <v>14914</v>
      </c>
      <c r="C52" s="35"/>
      <c r="D52" s="34" t="s">
        <v>3264</v>
      </c>
      <c r="E52" s="34" t="s">
        <v>14915</v>
      </c>
      <c r="F52" s="34" t="s">
        <v>3263</v>
      </c>
      <c r="G52" s="34" t="s">
        <v>14916</v>
      </c>
      <c r="H52" s="34" t="s">
        <v>14917</v>
      </c>
      <c r="I52" s="35">
        <v>1</v>
      </c>
      <c r="J52" s="34" t="s">
        <v>14918</v>
      </c>
      <c r="K52" s="35"/>
      <c r="L52" s="34" t="s">
        <v>14726</v>
      </c>
      <c r="M52" s="35" t="s">
        <v>9</v>
      </c>
      <c r="N52" s="34" t="s">
        <v>14919</v>
      </c>
      <c r="O52" s="35" t="s">
        <v>164</v>
      </c>
      <c r="P52" s="35" t="s">
        <v>2271</v>
      </c>
    </row>
    <row r="53" spans="1:16" ht="409.6" x14ac:dyDescent="0.25">
      <c r="A53" s="35">
        <v>51</v>
      </c>
      <c r="B53" s="34" t="s">
        <v>14920</v>
      </c>
      <c r="C53" s="35"/>
      <c r="D53" s="34" t="s">
        <v>14921</v>
      </c>
      <c r="E53" s="34" t="s">
        <v>14922</v>
      </c>
      <c r="F53" s="34" t="s">
        <v>14923</v>
      </c>
      <c r="G53" s="34" t="s">
        <v>14924</v>
      </c>
      <c r="H53" s="34" t="s">
        <v>14925</v>
      </c>
      <c r="I53" s="35">
        <v>1</v>
      </c>
      <c r="J53" s="34" t="s">
        <v>14926</v>
      </c>
      <c r="K53" s="35"/>
      <c r="L53" s="34" t="s">
        <v>14726</v>
      </c>
      <c r="M53" s="35" t="s">
        <v>9</v>
      </c>
      <c r="N53" s="34" t="s">
        <v>14927</v>
      </c>
      <c r="O53" s="35" t="s">
        <v>164</v>
      </c>
      <c r="P53" s="35" t="s">
        <v>2271</v>
      </c>
    </row>
    <row r="54" spans="1:16" ht="409.6" x14ac:dyDescent="0.25">
      <c r="A54" s="35">
        <v>52</v>
      </c>
      <c r="B54" s="34" t="s">
        <v>14928</v>
      </c>
      <c r="C54" s="35"/>
      <c r="D54" s="34" t="s">
        <v>14929</v>
      </c>
      <c r="E54" s="34" t="s">
        <v>14930</v>
      </c>
      <c r="F54" s="34" t="s">
        <v>14931</v>
      </c>
      <c r="G54" s="34" t="s">
        <v>14932</v>
      </c>
      <c r="H54" s="34" t="s">
        <v>14933</v>
      </c>
      <c r="I54" s="35">
        <v>1</v>
      </c>
      <c r="J54" s="34" t="s">
        <v>14934</v>
      </c>
      <c r="K54" s="35"/>
      <c r="L54" s="34" t="s">
        <v>14726</v>
      </c>
      <c r="M54" s="35" t="s">
        <v>9</v>
      </c>
      <c r="N54" s="34" t="s">
        <v>14935</v>
      </c>
      <c r="O54" s="35" t="s">
        <v>164</v>
      </c>
      <c r="P54" s="35" t="s">
        <v>2271</v>
      </c>
    </row>
    <row r="55" spans="1:16" ht="409.6" x14ac:dyDescent="0.25">
      <c r="A55" s="35">
        <v>53</v>
      </c>
      <c r="B55" s="34" t="s">
        <v>14936</v>
      </c>
      <c r="C55" s="35" t="s">
        <v>14937</v>
      </c>
      <c r="D55" s="34" t="s">
        <v>14395</v>
      </c>
      <c r="E55" s="34" t="s">
        <v>14485</v>
      </c>
      <c r="F55" s="34" t="s">
        <v>14543</v>
      </c>
      <c r="G55" s="34" t="s">
        <v>14860</v>
      </c>
      <c r="H55" s="34" t="s">
        <v>14859</v>
      </c>
      <c r="I55" s="35">
        <v>1</v>
      </c>
      <c r="J55" s="34" t="s">
        <v>14938</v>
      </c>
      <c r="K55" s="35"/>
      <c r="L55" s="34" t="s">
        <v>14726</v>
      </c>
      <c r="M55" s="35" t="s">
        <v>9</v>
      </c>
      <c r="N55" s="34" t="s">
        <v>14939</v>
      </c>
      <c r="O55" s="35" t="s">
        <v>164</v>
      </c>
      <c r="P55" s="35" t="s">
        <v>2271</v>
      </c>
    </row>
    <row r="56" spans="1:16" ht="409.6" x14ac:dyDescent="0.25">
      <c r="A56" s="35">
        <v>54</v>
      </c>
      <c r="B56" s="34" t="s">
        <v>14940</v>
      </c>
      <c r="C56" s="35" t="s">
        <v>14941</v>
      </c>
      <c r="D56" s="34" t="s">
        <v>14942</v>
      </c>
      <c r="E56" s="34" t="s">
        <v>14943</v>
      </c>
      <c r="F56" s="34" t="s">
        <v>14944</v>
      </c>
      <c r="G56" s="34" t="s">
        <v>14945</v>
      </c>
      <c r="H56" s="34" t="s">
        <v>14946</v>
      </c>
      <c r="I56" s="35">
        <v>1</v>
      </c>
      <c r="J56" s="34" t="s">
        <v>14947</v>
      </c>
      <c r="K56" s="35"/>
      <c r="L56" s="34" t="s">
        <v>14726</v>
      </c>
      <c r="M56" s="35" t="s">
        <v>9</v>
      </c>
      <c r="N56" s="34" t="s">
        <v>14948</v>
      </c>
      <c r="O56" s="35" t="s">
        <v>164</v>
      </c>
      <c r="P56" s="35" t="s">
        <v>2271</v>
      </c>
    </row>
    <row r="57" spans="1:16" ht="409.6" x14ac:dyDescent="0.25">
      <c r="A57" s="35">
        <v>55</v>
      </c>
      <c r="B57" s="34" t="s">
        <v>14949</v>
      </c>
      <c r="C57" s="35"/>
      <c r="D57" s="34" t="s">
        <v>14950</v>
      </c>
      <c r="E57" s="34" t="s">
        <v>14951</v>
      </c>
      <c r="F57" s="34" t="s">
        <v>14952</v>
      </c>
      <c r="G57" s="34" t="s">
        <v>14953</v>
      </c>
      <c r="H57" s="34" t="s">
        <v>14954</v>
      </c>
      <c r="I57" s="35">
        <v>1</v>
      </c>
      <c r="J57" s="34" t="s">
        <v>14955</v>
      </c>
      <c r="K57" s="35"/>
      <c r="L57" s="34" t="s">
        <v>14726</v>
      </c>
      <c r="M57" s="35" t="s">
        <v>9</v>
      </c>
      <c r="N57" s="34" t="s">
        <v>14956</v>
      </c>
      <c r="O57" s="35" t="s">
        <v>164</v>
      </c>
      <c r="P57" s="35" t="s">
        <v>2271</v>
      </c>
    </row>
    <row r="58" spans="1:16" ht="409.6" x14ac:dyDescent="0.25">
      <c r="A58" s="35">
        <v>56</v>
      </c>
      <c r="B58" s="34" t="s">
        <v>14957</v>
      </c>
      <c r="C58" s="35"/>
      <c r="D58" s="34" t="s">
        <v>14817</v>
      </c>
      <c r="E58" s="34" t="s">
        <v>14818</v>
      </c>
      <c r="F58" s="34" t="s">
        <v>14820</v>
      </c>
      <c r="G58" s="34" t="s">
        <v>14958</v>
      </c>
      <c r="H58" s="34" t="s">
        <v>14959</v>
      </c>
      <c r="I58" s="35">
        <v>1</v>
      </c>
      <c r="J58" s="34" t="s">
        <v>14960</v>
      </c>
      <c r="K58" s="35"/>
      <c r="L58" s="34" t="s">
        <v>14726</v>
      </c>
      <c r="M58" s="35" t="s">
        <v>9</v>
      </c>
      <c r="N58" s="34" t="s">
        <v>14961</v>
      </c>
      <c r="O58" s="35" t="s">
        <v>164</v>
      </c>
      <c r="P58" s="35" t="s">
        <v>2436</v>
      </c>
    </row>
    <row r="59" spans="1:16" ht="409.6" x14ac:dyDescent="0.25">
      <c r="A59" s="35">
        <v>57</v>
      </c>
      <c r="B59" s="34" t="s">
        <v>14962</v>
      </c>
      <c r="C59" s="35"/>
      <c r="D59" s="34" t="s">
        <v>14963</v>
      </c>
      <c r="E59" s="34" t="s">
        <v>14964</v>
      </c>
      <c r="F59" s="34" t="s">
        <v>14965</v>
      </c>
      <c r="G59" s="34" t="s">
        <v>14966</v>
      </c>
      <c r="H59" s="34" t="s">
        <v>14967</v>
      </c>
      <c r="I59" s="35">
        <v>1</v>
      </c>
      <c r="J59" s="34" t="s">
        <v>14968</v>
      </c>
      <c r="K59" s="35"/>
      <c r="L59" s="34" t="s">
        <v>14726</v>
      </c>
      <c r="M59" s="35" t="s">
        <v>9</v>
      </c>
      <c r="N59" s="34" t="s">
        <v>14969</v>
      </c>
      <c r="O59" s="35" t="s">
        <v>164</v>
      </c>
      <c r="P59" s="35" t="s">
        <v>2436</v>
      </c>
    </row>
    <row r="60" spans="1:16" ht="409.6" x14ac:dyDescent="0.25">
      <c r="A60" s="35">
        <v>58</v>
      </c>
      <c r="B60" s="34" t="s">
        <v>14970</v>
      </c>
      <c r="C60" s="35"/>
      <c r="D60" s="34" t="s">
        <v>3185</v>
      </c>
      <c r="E60" s="34" t="s">
        <v>3181</v>
      </c>
      <c r="F60" s="34" t="s">
        <v>14971</v>
      </c>
      <c r="G60" s="34" t="s">
        <v>14972</v>
      </c>
      <c r="H60" s="34" t="s">
        <v>14973</v>
      </c>
      <c r="I60" s="35">
        <v>1</v>
      </c>
      <c r="J60" s="34" t="s">
        <v>14974</v>
      </c>
      <c r="K60" s="35"/>
      <c r="L60" s="34" t="s">
        <v>14726</v>
      </c>
      <c r="M60" s="35" t="s">
        <v>9</v>
      </c>
      <c r="N60" s="34" t="s">
        <v>14975</v>
      </c>
      <c r="O60" s="35" t="s">
        <v>164</v>
      </c>
      <c r="P60" s="35" t="s">
        <v>2436</v>
      </c>
    </row>
    <row r="61" spans="1:16" ht="409.6" x14ac:dyDescent="0.25">
      <c r="A61" s="35">
        <v>59</v>
      </c>
      <c r="B61" s="34" t="s">
        <v>14976</v>
      </c>
      <c r="C61" s="35"/>
      <c r="D61" s="34" t="s">
        <v>14963</v>
      </c>
      <c r="E61" s="34" t="s">
        <v>14964</v>
      </c>
      <c r="F61" s="34" t="s">
        <v>14965</v>
      </c>
      <c r="G61" s="34" t="s">
        <v>14966</v>
      </c>
      <c r="H61" s="34" t="s">
        <v>14977</v>
      </c>
      <c r="I61" s="35">
        <v>1</v>
      </c>
      <c r="J61" s="34" t="s">
        <v>14968</v>
      </c>
      <c r="K61" s="35"/>
      <c r="L61" s="34" t="s">
        <v>14726</v>
      </c>
      <c r="M61" s="35" t="s">
        <v>9</v>
      </c>
      <c r="N61" s="34" t="s">
        <v>14969</v>
      </c>
      <c r="O61" s="35" t="s">
        <v>164</v>
      </c>
      <c r="P61" s="35" t="s">
        <v>2436</v>
      </c>
    </row>
    <row r="62" spans="1:16" ht="409.6" x14ac:dyDescent="0.25">
      <c r="A62" s="35">
        <v>60</v>
      </c>
      <c r="B62" s="34" t="s">
        <v>14978</v>
      </c>
      <c r="C62" s="35"/>
      <c r="D62" s="34" t="s">
        <v>14979</v>
      </c>
      <c r="E62" s="34" t="s">
        <v>14980</v>
      </c>
      <c r="F62" s="34" t="s">
        <v>14981</v>
      </c>
      <c r="G62" s="34" t="s">
        <v>14982</v>
      </c>
      <c r="H62" s="34" t="s">
        <v>14983</v>
      </c>
      <c r="I62" s="35">
        <v>1</v>
      </c>
      <c r="J62" s="34" t="s">
        <v>14984</v>
      </c>
      <c r="K62" s="35"/>
      <c r="L62" s="34" t="s">
        <v>14726</v>
      </c>
      <c r="M62" s="35" t="s">
        <v>9</v>
      </c>
      <c r="N62" s="34" t="s">
        <v>14985</v>
      </c>
      <c r="O62" s="35" t="s">
        <v>164</v>
      </c>
      <c r="P62" s="35" t="s">
        <v>2436</v>
      </c>
    </row>
    <row r="63" spans="1:16" ht="409.6" x14ac:dyDescent="0.25">
      <c r="A63" s="35">
        <v>61</v>
      </c>
      <c r="B63" s="34" t="s">
        <v>14986</v>
      </c>
      <c r="C63" s="35"/>
      <c r="D63" s="34" t="s">
        <v>14987</v>
      </c>
      <c r="E63" s="34" t="s">
        <v>14988</v>
      </c>
      <c r="F63" s="34" t="s">
        <v>14989</v>
      </c>
      <c r="G63" s="34" t="s">
        <v>14990</v>
      </c>
      <c r="H63" s="34" t="s">
        <v>14991</v>
      </c>
      <c r="I63" s="35">
        <v>1</v>
      </c>
      <c r="J63" s="34" t="s">
        <v>14992</v>
      </c>
      <c r="K63" s="35"/>
      <c r="L63" s="34" t="s">
        <v>14726</v>
      </c>
      <c r="M63" s="35" t="s">
        <v>9</v>
      </c>
      <c r="N63" s="34" t="s">
        <v>14993</v>
      </c>
      <c r="O63" s="35" t="s">
        <v>164</v>
      </c>
      <c r="P63" s="35" t="s">
        <v>2436</v>
      </c>
    </row>
    <row r="64" spans="1:16" ht="409.6" x14ac:dyDescent="0.25">
      <c r="A64" s="35">
        <v>62</v>
      </c>
      <c r="B64" s="34" t="s">
        <v>14994</v>
      </c>
      <c r="C64" s="35"/>
      <c r="D64" s="34" t="s">
        <v>14995</v>
      </c>
      <c r="E64" s="34" t="s">
        <v>14996</v>
      </c>
      <c r="F64" s="34" t="s">
        <v>14997</v>
      </c>
      <c r="G64" s="34" t="s">
        <v>14998</v>
      </c>
      <c r="H64" s="34" t="s">
        <v>14999</v>
      </c>
      <c r="I64" s="35">
        <v>1</v>
      </c>
      <c r="J64" s="34" t="s">
        <v>15000</v>
      </c>
      <c r="K64" s="35"/>
      <c r="L64" s="34" t="s">
        <v>14726</v>
      </c>
      <c r="M64" s="35" t="s">
        <v>9</v>
      </c>
      <c r="N64" s="34" t="s">
        <v>15001</v>
      </c>
      <c r="O64" s="35" t="s">
        <v>164</v>
      </c>
      <c r="P64" s="35" t="s">
        <v>2436</v>
      </c>
    </row>
    <row r="65" spans="1:16" ht="409.6" x14ac:dyDescent="0.25">
      <c r="A65" s="35">
        <v>63</v>
      </c>
      <c r="B65" s="34" t="s">
        <v>15002</v>
      </c>
      <c r="C65" s="35"/>
      <c r="D65" s="34" t="s">
        <v>15003</v>
      </c>
      <c r="E65" s="34" t="s">
        <v>15004</v>
      </c>
      <c r="F65" s="34" t="s">
        <v>15005</v>
      </c>
      <c r="G65" s="34" t="s">
        <v>15006</v>
      </c>
      <c r="H65" s="34" t="s">
        <v>15007</v>
      </c>
      <c r="I65" s="35">
        <v>1</v>
      </c>
      <c r="J65" s="34" t="s">
        <v>15008</v>
      </c>
      <c r="K65" s="35"/>
      <c r="L65" s="34" t="s">
        <v>14726</v>
      </c>
      <c r="M65" s="35" t="s">
        <v>9</v>
      </c>
      <c r="N65" s="34" t="s">
        <v>15009</v>
      </c>
      <c r="O65" s="35" t="s">
        <v>164</v>
      </c>
      <c r="P65" s="35" t="s">
        <v>2514</v>
      </c>
    </row>
    <row r="66" spans="1:16" ht="409.6" x14ac:dyDescent="0.25">
      <c r="A66" s="35">
        <v>64</v>
      </c>
      <c r="B66" s="34" t="s">
        <v>15010</v>
      </c>
      <c r="C66" s="35"/>
      <c r="D66" s="34" t="s">
        <v>15011</v>
      </c>
      <c r="E66" s="34" t="s">
        <v>15012</v>
      </c>
      <c r="F66" s="34" t="s">
        <v>15013</v>
      </c>
      <c r="G66" s="34" t="s">
        <v>9781</v>
      </c>
      <c r="H66" s="34" t="s">
        <v>9809</v>
      </c>
      <c r="I66" s="35">
        <v>1</v>
      </c>
      <c r="J66" s="34" t="s">
        <v>15014</v>
      </c>
      <c r="K66" s="35"/>
      <c r="L66" s="34" t="s">
        <v>14726</v>
      </c>
      <c r="M66" s="35" t="s">
        <v>9</v>
      </c>
      <c r="N66" s="34" t="s">
        <v>15015</v>
      </c>
      <c r="O66" s="35" t="s">
        <v>164</v>
      </c>
      <c r="P66" s="35" t="s">
        <v>2514</v>
      </c>
    </row>
    <row r="67" spans="1:16" ht="409.6" x14ac:dyDescent="0.25">
      <c r="A67" s="35">
        <v>65</v>
      </c>
      <c r="B67" s="34" t="s">
        <v>15016</v>
      </c>
      <c r="C67" s="35"/>
      <c r="D67" s="34" t="s">
        <v>15017</v>
      </c>
      <c r="E67" s="34" t="s">
        <v>15018</v>
      </c>
      <c r="F67" s="34" t="s">
        <v>15006</v>
      </c>
      <c r="G67" s="34" t="s">
        <v>15019</v>
      </c>
      <c r="H67" s="34" t="s">
        <v>15020</v>
      </c>
      <c r="I67" s="35">
        <v>1</v>
      </c>
      <c r="J67" s="34" t="s">
        <v>15021</v>
      </c>
      <c r="K67" s="35"/>
      <c r="L67" s="34" t="s">
        <v>14726</v>
      </c>
      <c r="M67" s="35" t="s">
        <v>9</v>
      </c>
      <c r="N67" s="34" t="s">
        <v>15022</v>
      </c>
      <c r="O67" s="35" t="s">
        <v>164</v>
      </c>
      <c r="P67" s="35" t="s">
        <v>2514</v>
      </c>
    </row>
  </sheetData>
  <mergeCells count="1">
    <mergeCell ref="A1:F1"/>
  </mergeCell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U126"/>
  <sheetViews>
    <sheetView workbookViewId="0">
      <pane ySplit="2" topLeftCell="A3" activePane="bottomLeft" state="frozen"/>
      <selection pane="bottomLeft" activeCell="B4" sqref="B4"/>
    </sheetView>
  </sheetViews>
  <sheetFormatPr defaultColWidth="12.6640625" defaultRowHeight="15.75" customHeight="1" x14ac:dyDescent="0.25"/>
  <cols>
    <col min="2" max="2" width="36.77734375" customWidth="1"/>
  </cols>
  <sheetData>
    <row r="1" spans="1:21" ht="26.25" customHeight="1" x14ac:dyDescent="0.25">
      <c r="A1" s="52" t="str">
        <f>HYPERLINK("#gid=0", "🏠 กลับสู่หน้าแรก (Go to Home Page)")</f>
        <v>🏠 กลับสู่หน้าแรก (Go to Home Page)</v>
      </c>
      <c r="B1" s="49"/>
      <c r="C1" s="49"/>
      <c r="D1" s="49"/>
      <c r="E1" s="49"/>
      <c r="F1" s="49"/>
    </row>
    <row r="2" spans="1:21"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21" ht="13.2" customHeight="1" x14ac:dyDescent="0.25">
      <c r="A3" s="8" t="s">
        <v>84</v>
      </c>
      <c r="B3" s="2" t="s">
        <v>15023</v>
      </c>
      <c r="C3" s="2"/>
      <c r="D3" s="2" t="s">
        <v>15024</v>
      </c>
      <c r="E3" s="2" t="s">
        <v>15025</v>
      </c>
      <c r="F3" s="2" t="s">
        <v>15026</v>
      </c>
      <c r="G3" s="2" t="s">
        <v>15027</v>
      </c>
      <c r="H3" s="2" t="s">
        <v>15028</v>
      </c>
      <c r="I3" s="8" t="s">
        <v>123</v>
      </c>
      <c r="J3" s="2" t="s">
        <v>15029</v>
      </c>
      <c r="K3" s="2"/>
      <c r="L3" s="2" t="s">
        <v>15030</v>
      </c>
      <c r="M3" s="2" t="s">
        <v>9</v>
      </c>
      <c r="N3" s="2" t="s">
        <v>15031</v>
      </c>
      <c r="O3" s="2" t="s">
        <v>14199</v>
      </c>
      <c r="P3" s="8" t="s">
        <v>506</v>
      </c>
      <c r="Q3" s="2"/>
      <c r="R3" s="2"/>
      <c r="S3" s="2"/>
      <c r="T3" s="2"/>
      <c r="U3" s="2"/>
    </row>
    <row r="4" spans="1:21" ht="13.2" customHeight="1" x14ac:dyDescent="0.25">
      <c r="A4" s="8" t="s">
        <v>96</v>
      </c>
      <c r="B4" s="2" t="s">
        <v>15032</v>
      </c>
      <c r="C4" s="2"/>
      <c r="D4" s="2" t="s">
        <v>15033</v>
      </c>
      <c r="E4" s="2" t="s">
        <v>15034</v>
      </c>
      <c r="F4" s="2" t="s">
        <v>15035</v>
      </c>
      <c r="G4" s="2" t="s">
        <v>15036</v>
      </c>
      <c r="H4" s="2" t="s">
        <v>15037</v>
      </c>
      <c r="I4" s="8" t="s">
        <v>113</v>
      </c>
      <c r="J4" s="2" t="s">
        <v>15038</v>
      </c>
      <c r="K4" s="2"/>
      <c r="L4" s="2" t="s">
        <v>15039</v>
      </c>
      <c r="M4" s="2" t="s">
        <v>9</v>
      </c>
      <c r="N4" s="2" t="s">
        <v>15040</v>
      </c>
      <c r="O4" s="2" t="s">
        <v>14199</v>
      </c>
      <c r="P4" s="8" t="s">
        <v>506</v>
      </c>
      <c r="Q4" s="2"/>
      <c r="R4" s="2"/>
      <c r="S4" s="2"/>
      <c r="T4" s="2"/>
      <c r="U4" s="2"/>
    </row>
    <row r="5" spans="1:21" ht="13.2" customHeight="1" x14ac:dyDescent="0.25">
      <c r="A5" s="8" t="s">
        <v>90</v>
      </c>
      <c r="B5" s="2" t="s">
        <v>15041</v>
      </c>
      <c r="C5" s="2"/>
      <c r="D5" s="2" t="s">
        <v>15042</v>
      </c>
      <c r="E5" s="2" t="s">
        <v>15043</v>
      </c>
      <c r="F5" s="2" t="s">
        <v>15044</v>
      </c>
      <c r="G5" s="2" t="s">
        <v>14982</v>
      </c>
      <c r="H5" s="2" t="s">
        <v>14983</v>
      </c>
      <c r="I5" s="8" t="s">
        <v>96</v>
      </c>
      <c r="J5" s="2" t="s">
        <v>15045</v>
      </c>
      <c r="K5" s="2"/>
      <c r="L5" s="2" t="s">
        <v>15046</v>
      </c>
      <c r="M5" s="2" t="s">
        <v>9</v>
      </c>
      <c r="N5" s="2" t="s">
        <v>14274</v>
      </c>
      <c r="O5" s="2" t="s">
        <v>94</v>
      </c>
      <c r="P5" s="2" t="s">
        <v>14236</v>
      </c>
      <c r="Q5" s="2"/>
      <c r="R5" s="2"/>
      <c r="S5" s="2"/>
      <c r="T5" s="2"/>
      <c r="U5" s="2"/>
    </row>
    <row r="6" spans="1:21" ht="13.2" customHeight="1" x14ac:dyDescent="0.25">
      <c r="A6" s="8" t="s">
        <v>113</v>
      </c>
      <c r="B6" s="2" t="s">
        <v>15047</v>
      </c>
      <c r="C6" s="2"/>
      <c r="D6" s="2" t="s">
        <v>7593</v>
      </c>
      <c r="E6" s="2" t="s">
        <v>9296</v>
      </c>
      <c r="F6" s="2" t="s">
        <v>7590</v>
      </c>
      <c r="G6" s="2" t="s">
        <v>2377</v>
      </c>
      <c r="H6" s="2" t="s">
        <v>15048</v>
      </c>
      <c r="I6" s="8" t="s">
        <v>84</v>
      </c>
      <c r="J6" s="2" t="s">
        <v>15049</v>
      </c>
      <c r="K6" s="2"/>
      <c r="L6" s="2" t="s">
        <v>15050</v>
      </c>
      <c r="M6" s="2" t="s">
        <v>9</v>
      </c>
      <c r="N6" s="2" t="s">
        <v>14274</v>
      </c>
      <c r="O6" s="2" t="s">
        <v>94</v>
      </c>
      <c r="P6" s="2" t="s">
        <v>14236</v>
      </c>
      <c r="Q6" s="2"/>
      <c r="R6" s="2"/>
      <c r="S6" s="2"/>
      <c r="T6" s="2"/>
      <c r="U6" s="2"/>
    </row>
    <row r="7" spans="1:21" ht="13.2" customHeight="1" x14ac:dyDescent="0.25">
      <c r="A7" s="8" t="s">
        <v>123</v>
      </c>
      <c r="B7" s="2" t="s">
        <v>15051</v>
      </c>
      <c r="C7" s="2"/>
      <c r="D7" s="2" t="s">
        <v>14721</v>
      </c>
      <c r="E7" s="2" t="s">
        <v>14723</v>
      </c>
      <c r="F7" s="2" t="s">
        <v>14720</v>
      </c>
      <c r="G7" s="2" t="s">
        <v>15052</v>
      </c>
      <c r="H7" s="2" t="s">
        <v>15053</v>
      </c>
      <c r="I7" s="8" t="s">
        <v>113</v>
      </c>
      <c r="J7" s="2" t="s">
        <v>15054</v>
      </c>
      <c r="K7" s="2"/>
      <c r="L7" s="2" t="s">
        <v>15055</v>
      </c>
      <c r="M7" s="2" t="s">
        <v>9</v>
      </c>
      <c r="N7" s="2" t="s">
        <v>15056</v>
      </c>
      <c r="O7" s="2" t="s">
        <v>14199</v>
      </c>
      <c r="P7" s="8" t="s">
        <v>457</v>
      </c>
      <c r="Q7" s="2"/>
      <c r="R7" s="2"/>
      <c r="S7" s="2"/>
      <c r="T7" s="2"/>
      <c r="U7" s="2"/>
    </row>
    <row r="8" spans="1:21" ht="13.2" customHeight="1" x14ac:dyDescent="0.25">
      <c r="A8" s="8" t="s">
        <v>132</v>
      </c>
      <c r="B8" s="2" t="s">
        <v>15057</v>
      </c>
      <c r="C8" s="2"/>
      <c r="D8" s="2" t="s">
        <v>15058</v>
      </c>
      <c r="E8" s="2" t="s">
        <v>15059</v>
      </c>
      <c r="F8" s="2" t="s">
        <v>15060</v>
      </c>
      <c r="G8" s="2" t="s">
        <v>15061</v>
      </c>
      <c r="H8" s="2" t="s">
        <v>15062</v>
      </c>
      <c r="I8" s="8" t="s">
        <v>96</v>
      </c>
      <c r="J8" s="2" t="s">
        <v>15063</v>
      </c>
      <c r="K8" s="2"/>
      <c r="L8" s="2" t="s">
        <v>15064</v>
      </c>
      <c r="M8" s="2" t="s">
        <v>9</v>
      </c>
      <c r="N8" s="2" t="s">
        <v>15065</v>
      </c>
      <c r="O8" s="2" t="s">
        <v>14199</v>
      </c>
      <c r="P8" s="8" t="s">
        <v>506</v>
      </c>
      <c r="Q8" s="2"/>
      <c r="R8" s="2"/>
      <c r="S8" s="2"/>
      <c r="T8" s="2"/>
      <c r="U8" s="2"/>
    </row>
    <row r="9" spans="1:21" ht="13.2" customHeight="1" x14ac:dyDescent="0.25">
      <c r="A9" s="8" t="s">
        <v>10084</v>
      </c>
      <c r="B9" s="2" t="s">
        <v>15066</v>
      </c>
      <c r="C9" s="2"/>
      <c r="D9" s="2" t="s">
        <v>15067</v>
      </c>
      <c r="E9" s="2" t="s">
        <v>15068</v>
      </c>
      <c r="F9" s="2" t="s">
        <v>15069</v>
      </c>
      <c r="G9" s="2" t="s">
        <v>15070</v>
      </c>
      <c r="H9" s="2" t="s">
        <v>15071</v>
      </c>
      <c r="I9" s="8" t="s">
        <v>90</v>
      </c>
      <c r="J9" s="2" t="s">
        <v>15072</v>
      </c>
      <c r="K9" s="2"/>
      <c r="L9" s="2" t="s">
        <v>15073</v>
      </c>
      <c r="M9" s="2" t="s">
        <v>9</v>
      </c>
      <c r="N9" s="2" t="s">
        <v>14274</v>
      </c>
      <c r="O9" s="2" t="s">
        <v>94</v>
      </c>
      <c r="P9" s="2" t="s">
        <v>14236</v>
      </c>
      <c r="Q9" s="2"/>
      <c r="R9" s="2"/>
      <c r="S9" s="2"/>
      <c r="T9" s="2"/>
      <c r="U9" s="2"/>
    </row>
    <row r="10" spans="1:21" ht="13.2" customHeight="1" x14ac:dyDescent="0.25">
      <c r="A10" s="8" t="s">
        <v>10093</v>
      </c>
      <c r="B10" s="2" t="s">
        <v>15074</v>
      </c>
      <c r="C10" s="2"/>
      <c r="D10" s="2" t="s">
        <v>15075</v>
      </c>
      <c r="E10" s="2" t="s">
        <v>15076</v>
      </c>
      <c r="F10" s="2" t="s">
        <v>15077</v>
      </c>
      <c r="G10" s="2" t="s">
        <v>15078</v>
      </c>
      <c r="H10" s="2" t="s">
        <v>15079</v>
      </c>
      <c r="I10" s="8" t="s">
        <v>113</v>
      </c>
      <c r="J10" s="2" t="s">
        <v>15080</v>
      </c>
      <c r="K10" s="2"/>
      <c r="L10" s="2" t="s">
        <v>15081</v>
      </c>
      <c r="M10" s="2" t="s">
        <v>9</v>
      </c>
      <c r="N10" s="2" t="s">
        <v>15082</v>
      </c>
      <c r="O10" s="2" t="s">
        <v>14199</v>
      </c>
      <c r="P10" s="8" t="s">
        <v>457</v>
      </c>
      <c r="Q10" s="2"/>
      <c r="R10" s="2"/>
      <c r="S10" s="2"/>
      <c r="T10" s="2"/>
      <c r="U10" s="2"/>
    </row>
    <row r="11" spans="1:21" ht="13.2" customHeight="1" x14ac:dyDescent="0.25">
      <c r="A11" s="8" t="s">
        <v>10102</v>
      </c>
      <c r="B11" s="2" t="s">
        <v>15083</v>
      </c>
      <c r="C11" s="2"/>
      <c r="D11" s="2" t="s">
        <v>15084</v>
      </c>
      <c r="E11" s="2" t="s">
        <v>15085</v>
      </c>
      <c r="F11" s="2" t="s">
        <v>15086</v>
      </c>
      <c r="G11" s="2" t="s">
        <v>9827</v>
      </c>
      <c r="H11" s="2" t="s">
        <v>2210</v>
      </c>
      <c r="I11" s="8" t="s">
        <v>84</v>
      </c>
      <c r="J11" s="2" t="s">
        <v>15087</v>
      </c>
      <c r="K11" s="2"/>
      <c r="L11" s="2" t="s">
        <v>15088</v>
      </c>
      <c r="M11" s="2" t="s">
        <v>9</v>
      </c>
      <c r="N11" s="2" t="s">
        <v>15089</v>
      </c>
      <c r="O11" s="2" t="s">
        <v>14199</v>
      </c>
      <c r="P11" s="8" t="s">
        <v>506</v>
      </c>
      <c r="Q11" s="2"/>
      <c r="R11" s="2"/>
      <c r="S11" s="2"/>
      <c r="T11" s="2"/>
      <c r="U11" s="2"/>
    </row>
    <row r="12" spans="1:21" ht="13.2" customHeight="1" x14ac:dyDescent="0.25">
      <c r="A12" s="8" t="s">
        <v>10111</v>
      </c>
      <c r="B12" s="2" t="s">
        <v>15090</v>
      </c>
      <c r="C12" s="2"/>
      <c r="D12" s="2" t="s">
        <v>15091</v>
      </c>
      <c r="E12" s="2" t="s">
        <v>15092</v>
      </c>
      <c r="F12" s="2" t="s">
        <v>15093</v>
      </c>
      <c r="G12" s="2" t="s">
        <v>15094</v>
      </c>
      <c r="H12" s="2" t="s">
        <v>15095</v>
      </c>
      <c r="I12" s="8" t="s">
        <v>113</v>
      </c>
      <c r="J12" s="2" t="s">
        <v>15096</v>
      </c>
      <c r="K12" s="2"/>
      <c r="L12" s="2" t="s">
        <v>15097</v>
      </c>
      <c r="M12" s="2" t="s">
        <v>9</v>
      </c>
      <c r="N12" s="2" t="s">
        <v>15098</v>
      </c>
      <c r="O12" s="2" t="s">
        <v>14199</v>
      </c>
      <c r="P12" s="8" t="s">
        <v>224</v>
      </c>
      <c r="Q12" s="2"/>
      <c r="R12" s="2"/>
      <c r="S12" s="2"/>
      <c r="T12" s="2"/>
      <c r="U12" s="2"/>
    </row>
    <row r="13" spans="1:21" ht="13.2" customHeight="1" x14ac:dyDescent="0.25">
      <c r="A13" s="8" t="s">
        <v>10119</v>
      </c>
      <c r="B13" s="2" t="s">
        <v>15099</v>
      </c>
      <c r="C13" s="2"/>
      <c r="D13" s="2" t="s">
        <v>15100</v>
      </c>
      <c r="E13" s="2" t="s">
        <v>15101</v>
      </c>
      <c r="F13" s="2" t="s">
        <v>15102</v>
      </c>
      <c r="G13" s="2" t="s">
        <v>15103</v>
      </c>
      <c r="H13" s="2" t="s">
        <v>15104</v>
      </c>
      <c r="I13" s="8" t="s">
        <v>90</v>
      </c>
      <c r="J13" s="2" t="s">
        <v>15105</v>
      </c>
      <c r="K13" s="2"/>
      <c r="L13" s="2" t="s">
        <v>15106</v>
      </c>
      <c r="M13" s="2" t="s">
        <v>9</v>
      </c>
      <c r="N13" s="2" t="s">
        <v>15107</v>
      </c>
      <c r="O13" s="2" t="s">
        <v>14199</v>
      </c>
      <c r="P13" s="8" t="s">
        <v>224</v>
      </c>
      <c r="Q13" s="2"/>
      <c r="R13" s="2"/>
      <c r="S13" s="2"/>
      <c r="T13" s="2"/>
      <c r="U13" s="2"/>
    </row>
    <row r="14" spans="1:21" ht="13.2" customHeight="1" x14ac:dyDescent="0.25">
      <c r="A14" s="35">
        <v>12</v>
      </c>
      <c r="B14" s="34" t="s">
        <v>15108</v>
      </c>
      <c r="C14" s="35"/>
      <c r="D14" s="34" t="s">
        <v>6029</v>
      </c>
      <c r="E14" s="34" t="s">
        <v>6026</v>
      </c>
      <c r="F14" s="34" t="s">
        <v>8706</v>
      </c>
      <c r="G14" s="34" t="s">
        <v>8707</v>
      </c>
      <c r="H14" s="34" t="s">
        <v>15109</v>
      </c>
      <c r="I14" s="35">
        <v>1</v>
      </c>
      <c r="J14" s="34" t="s">
        <v>15110</v>
      </c>
      <c r="K14" s="35"/>
      <c r="L14" s="34" t="s">
        <v>15111</v>
      </c>
      <c r="M14" s="35" t="s">
        <v>9</v>
      </c>
      <c r="N14" s="34" t="s">
        <v>15112</v>
      </c>
      <c r="O14" s="35" t="s">
        <v>164</v>
      </c>
      <c r="P14" s="35" t="s">
        <v>1865</v>
      </c>
      <c r="Q14" s="2"/>
      <c r="R14" s="2"/>
      <c r="S14" s="2"/>
      <c r="T14" s="2"/>
      <c r="U14" s="2"/>
    </row>
    <row r="15" spans="1:21" ht="13.2" customHeight="1" x14ac:dyDescent="0.25">
      <c r="A15" s="35">
        <v>13</v>
      </c>
      <c r="B15" s="34" t="s">
        <v>15113</v>
      </c>
      <c r="C15" s="35"/>
      <c r="D15" s="34" t="s">
        <v>6728</v>
      </c>
      <c r="E15" s="34" t="s">
        <v>6729</v>
      </c>
      <c r="F15" s="34"/>
      <c r="G15" s="34"/>
      <c r="H15" s="34"/>
      <c r="I15" s="35">
        <v>1</v>
      </c>
      <c r="J15" s="34" t="s">
        <v>15114</v>
      </c>
      <c r="K15" s="35"/>
      <c r="L15" s="34" t="s">
        <v>15111</v>
      </c>
      <c r="M15" s="35" t="s">
        <v>9</v>
      </c>
      <c r="N15" s="34" t="s">
        <v>15115</v>
      </c>
      <c r="O15" s="35" t="s">
        <v>164</v>
      </c>
      <c r="P15" s="35" t="s">
        <v>1865</v>
      </c>
      <c r="Q15" s="2"/>
      <c r="R15" s="2"/>
      <c r="S15" s="2"/>
      <c r="T15" s="2"/>
      <c r="U15" s="2"/>
    </row>
    <row r="16" spans="1:21" ht="13.2" customHeight="1" x14ac:dyDescent="0.25">
      <c r="A16" s="35">
        <v>14</v>
      </c>
      <c r="B16" s="34" t="s">
        <v>15116</v>
      </c>
      <c r="C16" s="35" t="s">
        <v>15117</v>
      </c>
      <c r="D16" s="34" t="s">
        <v>15118</v>
      </c>
      <c r="E16" s="34" t="s">
        <v>15119</v>
      </c>
      <c r="F16" s="34" t="s">
        <v>15120</v>
      </c>
      <c r="G16" s="34" t="s">
        <v>15121</v>
      </c>
      <c r="H16" s="34" t="s">
        <v>15122</v>
      </c>
      <c r="I16" s="35">
        <v>1</v>
      </c>
      <c r="J16" s="34" t="s">
        <v>15123</v>
      </c>
      <c r="K16" s="35"/>
      <c r="L16" s="34" t="s">
        <v>15111</v>
      </c>
      <c r="M16" s="35" t="s">
        <v>9</v>
      </c>
      <c r="N16" s="34" t="s">
        <v>15124</v>
      </c>
      <c r="O16" s="35" t="s">
        <v>164</v>
      </c>
      <c r="P16" s="35" t="s">
        <v>1865</v>
      </c>
      <c r="Q16" s="2"/>
      <c r="R16" s="2"/>
      <c r="S16" s="2"/>
      <c r="T16" s="2"/>
      <c r="U16" s="2"/>
    </row>
    <row r="17" spans="1:21" ht="13.2" customHeight="1" x14ac:dyDescent="0.25">
      <c r="A17" s="35">
        <v>15</v>
      </c>
      <c r="B17" s="34" t="s">
        <v>15125</v>
      </c>
      <c r="C17" s="35"/>
      <c r="D17" s="34" t="s">
        <v>10287</v>
      </c>
      <c r="E17" s="34" t="s">
        <v>10288</v>
      </c>
      <c r="F17" s="34" t="s">
        <v>8707</v>
      </c>
      <c r="G17" s="34" t="s">
        <v>10289</v>
      </c>
      <c r="H17" s="34" t="s">
        <v>10290</v>
      </c>
      <c r="I17" s="35">
        <v>1</v>
      </c>
      <c r="J17" s="34" t="s">
        <v>15126</v>
      </c>
      <c r="K17" s="35"/>
      <c r="L17" s="34" t="s">
        <v>15111</v>
      </c>
      <c r="M17" s="35" t="s">
        <v>9</v>
      </c>
      <c r="N17" s="34" t="s">
        <v>15127</v>
      </c>
      <c r="O17" s="35" t="s">
        <v>164</v>
      </c>
      <c r="P17" s="35" t="s">
        <v>1865</v>
      </c>
      <c r="Q17" s="2"/>
      <c r="R17" s="2"/>
      <c r="S17" s="2"/>
      <c r="T17" s="2"/>
      <c r="U17" s="2"/>
    </row>
    <row r="18" spans="1:21" ht="409.6" x14ac:dyDescent="0.25">
      <c r="A18" s="35">
        <v>16</v>
      </c>
      <c r="B18" s="34" t="s">
        <v>15128</v>
      </c>
      <c r="C18" s="35"/>
      <c r="D18" s="34" t="s">
        <v>15129</v>
      </c>
      <c r="E18" s="34" t="s">
        <v>15130</v>
      </c>
      <c r="F18" s="34" t="s">
        <v>15131</v>
      </c>
      <c r="G18" s="34" t="s">
        <v>15132</v>
      </c>
      <c r="H18" s="34" t="s">
        <v>15133</v>
      </c>
      <c r="I18" s="35">
        <v>1</v>
      </c>
      <c r="J18" s="34" t="s">
        <v>15134</v>
      </c>
      <c r="K18" s="35"/>
      <c r="L18" s="34" t="s">
        <v>15111</v>
      </c>
      <c r="M18" s="35" t="s">
        <v>9</v>
      </c>
      <c r="N18" s="34" t="s">
        <v>15135</v>
      </c>
      <c r="O18" s="35" t="s">
        <v>164</v>
      </c>
      <c r="P18" s="35" t="s">
        <v>1865</v>
      </c>
    </row>
    <row r="19" spans="1:21" ht="409.6" x14ac:dyDescent="0.25">
      <c r="A19" s="35">
        <v>17</v>
      </c>
      <c r="B19" s="34" t="s">
        <v>15136</v>
      </c>
      <c r="C19" s="35"/>
      <c r="D19" s="34" t="s">
        <v>10288</v>
      </c>
      <c r="E19" s="34" t="s">
        <v>8707</v>
      </c>
      <c r="F19" s="34" t="s">
        <v>15137</v>
      </c>
      <c r="G19" s="34" t="s">
        <v>15138</v>
      </c>
      <c r="H19" s="34" t="s">
        <v>15139</v>
      </c>
      <c r="I19" s="35">
        <v>1</v>
      </c>
      <c r="J19" s="34" t="s">
        <v>15140</v>
      </c>
      <c r="K19" s="35"/>
      <c r="L19" s="34" t="s">
        <v>15111</v>
      </c>
      <c r="M19" s="35" t="s">
        <v>9</v>
      </c>
      <c r="N19" s="34" t="s">
        <v>15141</v>
      </c>
      <c r="O19" s="35" t="s">
        <v>164</v>
      </c>
      <c r="P19" s="35" t="s">
        <v>1865</v>
      </c>
    </row>
    <row r="20" spans="1:21" ht="409.6" x14ac:dyDescent="0.25">
      <c r="A20" s="35">
        <v>18</v>
      </c>
      <c r="B20" s="34" t="s">
        <v>15142</v>
      </c>
      <c r="C20" s="35"/>
      <c r="D20" s="34" t="s">
        <v>6026</v>
      </c>
      <c r="E20" s="34" t="s">
        <v>6027</v>
      </c>
      <c r="F20" s="34" t="s">
        <v>6028</v>
      </c>
      <c r="G20" s="34" t="s">
        <v>6029</v>
      </c>
      <c r="H20" s="34" t="s">
        <v>15109</v>
      </c>
      <c r="I20" s="35">
        <v>1</v>
      </c>
      <c r="J20" s="34" t="s">
        <v>15143</v>
      </c>
      <c r="K20" s="35"/>
      <c r="L20" s="34" t="s">
        <v>15111</v>
      </c>
      <c r="M20" s="35" t="s">
        <v>9</v>
      </c>
      <c r="N20" s="34" t="s">
        <v>15144</v>
      </c>
      <c r="O20" s="35" t="s">
        <v>164</v>
      </c>
      <c r="P20" s="35" t="s">
        <v>1865</v>
      </c>
    </row>
    <row r="21" spans="1:21" ht="409.6" x14ac:dyDescent="0.25">
      <c r="A21" s="35">
        <v>19</v>
      </c>
      <c r="B21" s="34" t="s">
        <v>15145</v>
      </c>
      <c r="C21" s="35"/>
      <c r="D21" s="34" t="s">
        <v>15146</v>
      </c>
      <c r="E21" s="34" t="s">
        <v>15147</v>
      </c>
      <c r="F21" s="34" t="s">
        <v>15148</v>
      </c>
      <c r="G21" s="34" t="s">
        <v>15149</v>
      </c>
      <c r="H21" s="34" t="s">
        <v>15150</v>
      </c>
      <c r="I21" s="35">
        <v>1</v>
      </c>
      <c r="J21" s="34" t="s">
        <v>15151</v>
      </c>
      <c r="K21" s="35"/>
      <c r="L21" s="34" t="s">
        <v>15111</v>
      </c>
      <c r="M21" s="35" t="s">
        <v>9</v>
      </c>
      <c r="N21" s="34" t="s">
        <v>15152</v>
      </c>
      <c r="O21" s="35" t="s">
        <v>164</v>
      </c>
      <c r="P21" s="35" t="s">
        <v>1865</v>
      </c>
    </row>
    <row r="22" spans="1:21" ht="409.6" x14ac:dyDescent="0.25">
      <c r="A22" s="35">
        <v>20</v>
      </c>
      <c r="B22" s="34" t="s">
        <v>15153</v>
      </c>
      <c r="C22" s="35"/>
      <c r="D22" s="34" t="s">
        <v>5512</v>
      </c>
      <c r="E22" s="34" t="s">
        <v>3174</v>
      </c>
      <c r="F22" s="34" t="s">
        <v>15154</v>
      </c>
      <c r="G22" s="34"/>
      <c r="H22" s="34"/>
      <c r="I22" s="35">
        <v>1</v>
      </c>
      <c r="J22" s="34" t="s">
        <v>15155</v>
      </c>
      <c r="K22" s="35"/>
      <c r="L22" s="34" t="s">
        <v>15111</v>
      </c>
      <c r="M22" s="35" t="s">
        <v>9</v>
      </c>
      <c r="N22" s="34" t="s">
        <v>15156</v>
      </c>
      <c r="O22" s="35" t="s">
        <v>164</v>
      </c>
      <c r="P22" s="35" t="s">
        <v>2017</v>
      </c>
    </row>
    <row r="23" spans="1:21" ht="409.6" x14ac:dyDescent="0.25">
      <c r="A23" s="35">
        <v>21</v>
      </c>
      <c r="B23" s="34" t="s">
        <v>15157</v>
      </c>
      <c r="C23" s="35"/>
      <c r="D23" s="34" t="s">
        <v>15158</v>
      </c>
      <c r="E23" s="34" t="s">
        <v>15159</v>
      </c>
      <c r="F23" s="34" t="s">
        <v>15160</v>
      </c>
      <c r="G23" s="34" t="s">
        <v>15161</v>
      </c>
      <c r="H23" s="34" t="s">
        <v>15162</v>
      </c>
      <c r="I23" s="35">
        <v>1</v>
      </c>
      <c r="J23" s="34" t="s">
        <v>15163</v>
      </c>
      <c r="K23" s="35"/>
      <c r="L23" s="34" t="s">
        <v>15164</v>
      </c>
      <c r="M23" s="35" t="s">
        <v>9</v>
      </c>
      <c r="N23" s="34" t="s">
        <v>15165</v>
      </c>
      <c r="O23" s="35" t="s">
        <v>164</v>
      </c>
      <c r="P23" s="35" t="s">
        <v>2017</v>
      </c>
    </row>
    <row r="24" spans="1:21" ht="409.6" x14ac:dyDescent="0.25">
      <c r="A24" s="35">
        <v>22</v>
      </c>
      <c r="B24" s="34" t="s">
        <v>15166</v>
      </c>
      <c r="C24" s="35"/>
      <c r="D24" s="34" t="s">
        <v>15167</v>
      </c>
      <c r="E24" s="34" t="s">
        <v>15168</v>
      </c>
      <c r="F24" s="34" t="s">
        <v>15169</v>
      </c>
      <c r="G24" s="34"/>
      <c r="H24" s="34"/>
      <c r="I24" s="35">
        <v>1</v>
      </c>
      <c r="J24" s="34" t="s">
        <v>15170</v>
      </c>
      <c r="K24" s="35"/>
      <c r="L24" s="34" t="s">
        <v>15111</v>
      </c>
      <c r="M24" s="35" t="s">
        <v>9</v>
      </c>
      <c r="N24" s="34" t="s">
        <v>15171</v>
      </c>
      <c r="O24" s="35" t="s">
        <v>164</v>
      </c>
      <c r="P24" s="35" t="s">
        <v>2017</v>
      </c>
    </row>
    <row r="25" spans="1:21" ht="409.6" x14ac:dyDescent="0.25">
      <c r="A25" s="35">
        <v>23</v>
      </c>
      <c r="B25" s="34" t="s">
        <v>15172</v>
      </c>
      <c r="C25" s="35"/>
      <c r="D25" s="34" t="s">
        <v>15173</v>
      </c>
      <c r="E25" s="34" t="s">
        <v>15174</v>
      </c>
      <c r="F25" s="34" t="s">
        <v>15175</v>
      </c>
      <c r="G25" s="34" t="s">
        <v>15176</v>
      </c>
      <c r="H25" s="34"/>
      <c r="I25" s="35">
        <v>1</v>
      </c>
      <c r="J25" s="34" t="s">
        <v>15177</v>
      </c>
      <c r="K25" s="35"/>
      <c r="L25" s="34" t="s">
        <v>15164</v>
      </c>
      <c r="M25" s="35" t="s">
        <v>9</v>
      </c>
      <c r="N25" s="34" t="s">
        <v>15178</v>
      </c>
      <c r="O25" s="35" t="s">
        <v>164</v>
      </c>
      <c r="P25" s="35" t="s">
        <v>2017</v>
      </c>
    </row>
    <row r="26" spans="1:21" ht="409.6" x14ac:dyDescent="0.25">
      <c r="A26" s="35">
        <v>24</v>
      </c>
      <c r="B26" s="34" t="s">
        <v>15179</v>
      </c>
      <c r="C26" s="35"/>
      <c r="D26" s="34" t="s">
        <v>2208</v>
      </c>
      <c r="E26" s="34" t="s">
        <v>15180</v>
      </c>
      <c r="F26" s="34"/>
      <c r="G26" s="34"/>
      <c r="H26" s="34"/>
      <c r="I26" s="35">
        <v>1</v>
      </c>
      <c r="J26" s="34" t="s">
        <v>15181</v>
      </c>
      <c r="K26" s="35"/>
      <c r="L26" s="34" t="s">
        <v>15111</v>
      </c>
      <c r="M26" s="35" t="s">
        <v>9</v>
      </c>
      <c r="N26" s="34" t="s">
        <v>15182</v>
      </c>
      <c r="O26" s="35" t="s">
        <v>164</v>
      </c>
      <c r="P26" s="35" t="s">
        <v>2017</v>
      </c>
    </row>
    <row r="27" spans="1:21" ht="409.6" x14ac:dyDescent="0.25">
      <c r="A27" s="35">
        <v>25</v>
      </c>
      <c r="B27" s="34" t="s">
        <v>15183</v>
      </c>
      <c r="C27" s="35"/>
      <c r="D27" s="34" t="s">
        <v>15184</v>
      </c>
      <c r="E27" s="34" t="s">
        <v>15185</v>
      </c>
      <c r="F27" s="34" t="s">
        <v>15186</v>
      </c>
      <c r="G27" s="34"/>
      <c r="H27" s="34"/>
      <c r="I27" s="35">
        <v>1</v>
      </c>
      <c r="J27" s="34" t="s">
        <v>15187</v>
      </c>
      <c r="K27" s="35"/>
      <c r="L27" s="34" t="s">
        <v>15111</v>
      </c>
      <c r="M27" s="35" t="s">
        <v>9</v>
      </c>
      <c r="N27" s="34" t="s">
        <v>15188</v>
      </c>
      <c r="O27" s="35" t="s">
        <v>164</v>
      </c>
      <c r="P27" s="35" t="s">
        <v>2017</v>
      </c>
    </row>
    <row r="28" spans="1:21" ht="409.6" x14ac:dyDescent="0.25">
      <c r="A28" s="35">
        <v>26</v>
      </c>
      <c r="B28" s="34" t="s">
        <v>15189</v>
      </c>
      <c r="C28" s="35"/>
      <c r="D28" s="34" t="s">
        <v>15190</v>
      </c>
      <c r="E28" s="34" t="s">
        <v>15191</v>
      </c>
      <c r="F28" s="34" t="s">
        <v>15192</v>
      </c>
      <c r="G28" s="34" t="s">
        <v>15193</v>
      </c>
      <c r="H28" s="34" t="s">
        <v>15194</v>
      </c>
      <c r="I28" s="35">
        <v>4</v>
      </c>
      <c r="J28" s="34" t="s">
        <v>15195</v>
      </c>
      <c r="K28" s="35"/>
      <c r="L28" s="34" t="s">
        <v>15164</v>
      </c>
      <c r="M28" s="35" t="s">
        <v>9</v>
      </c>
      <c r="N28" s="34" t="s">
        <v>15196</v>
      </c>
      <c r="O28" s="35" t="s">
        <v>164</v>
      </c>
      <c r="P28" s="35" t="s">
        <v>2017</v>
      </c>
    </row>
    <row r="29" spans="1:21" ht="409.6" x14ac:dyDescent="0.25">
      <c r="A29" s="35">
        <v>27</v>
      </c>
      <c r="B29" s="34" t="s">
        <v>15197</v>
      </c>
      <c r="C29" s="35"/>
      <c r="D29" s="34" t="s">
        <v>15198</v>
      </c>
      <c r="E29" s="34" t="s">
        <v>15199</v>
      </c>
      <c r="F29" s="34" t="s">
        <v>15200</v>
      </c>
      <c r="G29" s="34"/>
      <c r="H29" s="34"/>
      <c r="I29" s="35">
        <v>3</v>
      </c>
      <c r="J29" s="34" t="s">
        <v>15201</v>
      </c>
      <c r="K29" s="35"/>
      <c r="L29" s="34" t="s">
        <v>15111</v>
      </c>
      <c r="M29" s="35" t="s">
        <v>9</v>
      </c>
      <c r="N29" s="34" t="s">
        <v>15202</v>
      </c>
      <c r="O29" s="35" t="s">
        <v>164</v>
      </c>
      <c r="P29" s="35" t="s">
        <v>2017</v>
      </c>
    </row>
    <row r="30" spans="1:21" ht="409.6" x14ac:dyDescent="0.25">
      <c r="A30" s="35">
        <v>28</v>
      </c>
      <c r="B30" s="34" t="s">
        <v>15203</v>
      </c>
      <c r="C30" s="35"/>
      <c r="D30" s="34" t="s">
        <v>15204</v>
      </c>
      <c r="E30" s="34" t="s">
        <v>15205</v>
      </c>
      <c r="F30" s="34"/>
      <c r="G30" s="34"/>
      <c r="H30" s="34"/>
      <c r="I30" s="35">
        <v>1</v>
      </c>
      <c r="J30" s="34" t="s">
        <v>15206</v>
      </c>
      <c r="K30" s="35"/>
      <c r="L30" s="34" t="s">
        <v>15111</v>
      </c>
      <c r="M30" s="35" t="s">
        <v>9</v>
      </c>
      <c r="N30" s="34" t="s">
        <v>15207</v>
      </c>
      <c r="O30" s="35" t="s">
        <v>164</v>
      </c>
      <c r="P30" s="35" t="s">
        <v>2017</v>
      </c>
    </row>
    <row r="31" spans="1:21" ht="409.6" x14ac:dyDescent="0.25">
      <c r="A31" s="35">
        <v>29</v>
      </c>
      <c r="B31" s="34" t="s">
        <v>15208</v>
      </c>
      <c r="C31" s="35"/>
      <c r="D31" s="34" t="s">
        <v>2230</v>
      </c>
      <c r="E31" s="34" t="s">
        <v>10288</v>
      </c>
      <c r="F31" s="34" t="s">
        <v>3301</v>
      </c>
      <c r="G31" s="34" t="s">
        <v>15184</v>
      </c>
      <c r="H31" s="34" t="s">
        <v>15209</v>
      </c>
      <c r="I31" s="35">
        <v>1</v>
      </c>
      <c r="J31" s="34" t="s">
        <v>15210</v>
      </c>
      <c r="K31" s="35"/>
      <c r="L31" s="34" t="s">
        <v>15111</v>
      </c>
      <c r="M31" s="35" t="s">
        <v>9</v>
      </c>
      <c r="N31" s="34" t="s">
        <v>15211</v>
      </c>
      <c r="O31" s="35" t="s">
        <v>164</v>
      </c>
      <c r="P31" s="35" t="s">
        <v>2109</v>
      </c>
    </row>
    <row r="32" spans="1:21" ht="409.6" x14ac:dyDescent="0.25">
      <c r="A32" s="35">
        <v>30</v>
      </c>
      <c r="B32" s="34" t="s">
        <v>15212</v>
      </c>
      <c r="C32" s="35"/>
      <c r="D32" s="34" t="s">
        <v>15213</v>
      </c>
      <c r="E32" s="34" t="s">
        <v>15214</v>
      </c>
      <c r="F32" s="34" t="s">
        <v>15215</v>
      </c>
      <c r="G32" s="34" t="s">
        <v>15216</v>
      </c>
      <c r="H32" s="34" t="s">
        <v>15217</v>
      </c>
      <c r="I32" s="35">
        <v>1</v>
      </c>
      <c r="J32" s="34" t="s">
        <v>15218</v>
      </c>
      <c r="K32" s="35"/>
      <c r="L32" s="34" t="s">
        <v>15111</v>
      </c>
      <c r="M32" s="35" t="s">
        <v>9</v>
      </c>
      <c r="N32" s="34" t="s">
        <v>15219</v>
      </c>
      <c r="O32" s="35" t="s">
        <v>164</v>
      </c>
      <c r="P32" s="35" t="s">
        <v>2109</v>
      </c>
    </row>
    <row r="33" spans="1:16" ht="409.6" x14ac:dyDescent="0.25">
      <c r="A33" s="35">
        <v>31</v>
      </c>
      <c r="B33" s="34" t="s">
        <v>15220</v>
      </c>
      <c r="C33" s="35"/>
      <c r="D33" s="34" t="s">
        <v>11071</v>
      </c>
      <c r="E33" s="34" t="s">
        <v>15221</v>
      </c>
      <c r="F33" s="34" t="s">
        <v>11069</v>
      </c>
      <c r="G33" s="34" t="s">
        <v>11072</v>
      </c>
      <c r="H33" s="34" t="s">
        <v>15222</v>
      </c>
      <c r="I33" s="35">
        <v>1</v>
      </c>
      <c r="J33" s="34" t="s">
        <v>15223</v>
      </c>
      <c r="K33" s="35"/>
      <c r="L33" s="34" t="s">
        <v>15111</v>
      </c>
      <c r="M33" s="35" t="s">
        <v>9</v>
      </c>
      <c r="N33" s="34" t="s">
        <v>15224</v>
      </c>
      <c r="O33" s="35" t="s">
        <v>164</v>
      </c>
      <c r="P33" s="35" t="s">
        <v>2109</v>
      </c>
    </row>
    <row r="34" spans="1:16" ht="409.6" x14ac:dyDescent="0.25">
      <c r="A34" s="35">
        <v>32</v>
      </c>
      <c r="B34" s="34" t="s">
        <v>15225</v>
      </c>
      <c r="C34" s="35"/>
      <c r="D34" s="34" t="s">
        <v>15226</v>
      </c>
      <c r="E34" s="34" t="s">
        <v>15227</v>
      </c>
      <c r="F34" s="34" t="s">
        <v>15228</v>
      </c>
      <c r="G34" s="34" t="s">
        <v>15229</v>
      </c>
      <c r="H34" s="34" t="s">
        <v>15230</v>
      </c>
      <c r="I34" s="35">
        <v>1</v>
      </c>
      <c r="J34" s="34" t="s">
        <v>15231</v>
      </c>
      <c r="K34" s="35"/>
      <c r="L34" s="34" t="s">
        <v>15111</v>
      </c>
      <c r="M34" s="35" t="s">
        <v>9</v>
      </c>
      <c r="N34" s="34" t="s">
        <v>15232</v>
      </c>
      <c r="O34" s="35" t="s">
        <v>164</v>
      </c>
      <c r="P34" s="35" t="s">
        <v>2109</v>
      </c>
    </row>
    <row r="35" spans="1:16" ht="409.6" x14ac:dyDescent="0.25">
      <c r="A35" s="35">
        <v>33</v>
      </c>
      <c r="B35" s="34" t="s">
        <v>15233</v>
      </c>
      <c r="C35" s="35"/>
      <c r="D35" s="34" t="s">
        <v>15234</v>
      </c>
      <c r="E35" s="34" t="s">
        <v>15235</v>
      </c>
      <c r="F35" s="34" t="s">
        <v>6730</v>
      </c>
      <c r="G35" s="34" t="s">
        <v>6730</v>
      </c>
      <c r="H35" s="34" t="s">
        <v>6730</v>
      </c>
      <c r="I35" s="35">
        <v>1</v>
      </c>
      <c r="J35" s="34" t="s">
        <v>15236</v>
      </c>
      <c r="K35" s="35"/>
      <c r="L35" s="34" t="s">
        <v>15111</v>
      </c>
      <c r="M35" s="35" t="s">
        <v>9</v>
      </c>
      <c r="N35" s="34" t="s">
        <v>15237</v>
      </c>
      <c r="O35" s="35" t="s">
        <v>164</v>
      </c>
      <c r="P35" s="35" t="s">
        <v>2109</v>
      </c>
    </row>
    <row r="36" spans="1:16" ht="409.6" x14ac:dyDescent="0.25">
      <c r="A36" s="35">
        <v>34</v>
      </c>
      <c r="B36" s="34" t="s">
        <v>15238</v>
      </c>
      <c r="C36" s="35"/>
      <c r="D36" s="34"/>
      <c r="E36" s="34" t="s">
        <v>3524</v>
      </c>
      <c r="F36" s="34" t="s">
        <v>3523</v>
      </c>
      <c r="G36" s="34"/>
      <c r="H36" s="34"/>
      <c r="I36" s="35">
        <v>1</v>
      </c>
      <c r="J36" s="34" t="s">
        <v>15239</v>
      </c>
      <c r="K36" s="35"/>
      <c r="L36" s="34" t="s">
        <v>15111</v>
      </c>
      <c r="M36" s="35" t="s">
        <v>9</v>
      </c>
      <c r="N36" s="34" t="s">
        <v>14749</v>
      </c>
      <c r="O36" s="35" t="s">
        <v>164</v>
      </c>
      <c r="P36" s="35" t="s">
        <v>2109</v>
      </c>
    </row>
    <row r="37" spans="1:16" ht="409.6" x14ac:dyDescent="0.25">
      <c r="A37" s="35">
        <v>35</v>
      </c>
      <c r="B37" s="34" t="s">
        <v>15240</v>
      </c>
      <c r="C37" s="35"/>
      <c r="D37" s="34"/>
      <c r="E37" s="34" t="s">
        <v>15241</v>
      </c>
      <c r="F37" s="34" t="s">
        <v>15242</v>
      </c>
      <c r="G37" s="34" t="s">
        <v>15243</v>
      </c>
      <c r="H37" s="34" t="s">
        <v>15244</v>
      </c>
      <c r="I37" s="35">
        <v>1</v>
      </c>
      <c r="J37" s="34" t="s">
        <v>15245</v>
      </c>
      <c r="K37" s="35"/>
      <c r="L37" s="34" t="s">
        <v>15111</v>
      </c>
      <c r="M37" s="35" t="s">
        <v>9</v>
      </c>
      <c r="N37" s="34" t="s">
        <v>15246</v>
      </c>
      <c r="O37" s="35" t="s">
        <v>164</v>
      </c>
      <c r="P37" s="35" t="s">
        <v>2109</v>
      </c>
    </row>
    <row r="38" spans="1:16" ht="409.6" x14ac:dyDescent="0.25">
      <c r="A38" s="35">
        <v>36</v>
      </c>
      <c r="B38" s="34" t="s">
        <v>15247</v>
      </c>
      <c r="C38" s="35"/>
      <c r="D38" s="34" t="s">
        <v>15248</v>
      </c>
      <c r="E38" s="34" t="s">
        <v>15249</v>
      </c>
      <c r="F38" s="34" t="s">
        <v>15250</v>
      </c>
      <c r="G38" s="34" t="s">
        <v>15251</v>
      </c>
      <c r="H38" s="34" t="s">
        <v>15252</v>
      </c>
      <c r="I38" s="35">
        <v>1</v>
      </c>
      <c r="J38" s="34" t="s">
        <v>15253</v>
      </c>
      <c r="K38" s="35"/>
      <c r="L38" s="34" t="s">
        <v>15111</v>
      </c>
      <c r="M38" s="35" t="s">
        <v>9</v>
      </c>
      <c r="N38" s="34" t="s">
        <v>15254</v>
      </c>
      <c r="O38" s="35" t="s">
        <v>164</v>
      </c>
      <c r="P38" s="35" t="s">
        <v>2109</v>
      </c>
    </row>
    <row r="39" spans="1:16" ht="409.6" x14ac:dyDescent="0.25">
      <c r="A39" s="35">
        <v>37</v>
      </c>
      <c r="B39" s="34" t="s">
        <v>15255</v>
      </c>
      <c r="C39" s="35" t="s">
        <v>15256</v>
      </c>
      <c r="D39" s="34" t="s">
        <v>15257</v>
      </c>
      <c r="E39" s="34" t="s">
        <v>15258</v>
      </c>
      <c r="F39" s="34" t="s">
        <v>15259</v>
      </c>
      <c r="G39" s="34" t="s">
        <v>15260</v>
      </c>
      <c r="H39" s="34" t="s">
        <v>15252</v>
      </c>
      <c r="I39" s="35">
        <v>1</v>
      </c>
      <c r="J39" s="34" t="s">
        <v>15261</v>
      </c>
      <c r="K39" s="35"/>
      <c r="L39" s="34" t="s">
        <v>15111</v>
      </c>
      <c r="M39" s="35" t="s">
        <v>9</v>
      </c>
      <c r="N39" s="34" t="s">
        <v>15262</v>
      </c>
      <c r="O39" s="35" t="s">
        <v>164</v>
      </c>
      <c r="P39" s="35" t="s">
        <v>2109</v>
      </c>
    </row>
    <row r="40" spans="1:16" ht="409.6" x14ac:dyDescent="0.25">
      <c r="A40" s="35">
        <v>38</v>
      </c>
      <c r="B40" s="34" t="s">
        <v>15263</v>
      </c>
      <c r="C40" s="35" t="s">
        <v>15264</v>
      </c>
      <c r="D40" s="34" t="s">
        <v>15265</v>
      </c>
      <c r="E40" s="34" t="s">
        <v>15266</v>
      </c>
      <c r="F40" s="34" t="s">
        <v>15267</v>
      </c>
      <c r="G40" s="34" t="s">
        <v>15268</v>
      </c>
      <c r="H40" s="34" t="s">
        <v>15252</v>
      </c>
      <c r="I40" s="35">
        <v>1</v>
      </c>
      <c r="J40" s="34" t="s">
        <v>15269</v>
      </c>
      <c r="K40" s="35"/>
      <c r="L40" s="34" t="s">
        <v>15111</v>
      </c>
      <c r="M40" s="35" t="s">
        <v>9</v>
      </c>
      <c r="N40" s="34" t="s">
        <v>15270</v>
      </c>
      <c r="O40" s="35" t="s">
        <v>164</v>
      </c>
      <c r="P40" s="35" t="s">
        <v>2109</v>
      </c>
    </row>
    <row r="41" spans="1:16" ht="409.6" x14ac:dyDescent="0.25">
      <c r="A41" s="35">
        <v>39</v>
      </c>
      <c r="B41" s="34" t="s">
        <v>15271</v>
      </c>
      <c r="C41" s="35"/>
      <c r="D41" s="34" t="s">
        <v>15272</v>
      </c>
      <c r="E41" s="34" t="s">
        <v>15273</v>
      </c>
      <c r="F41" s="34" t="s">
        <v>15274</v>
      </c>
      <c r="G41" s="34" t="s">
        <v>15275</v>
      </c>
      <c r="H41" s="34" t="s">
        <v>15252</v>
      </c>
      <c r="I41" s="35">
        <v>1</v>
      </c>
      <c r="J41" s="34" t="s">
        <v>15276</v>
      </c>
      <c r="K41" s="35"/>
      <c r="L41" s="34" t="s">
        <v>15111</v>
      </c>
      <c r="M41" s="35" t="s">
        <v>9</v>
      </c>
      <c r="N41" s="34" t="s">
        <v>15277</v>
      </c>
      <c r="O41" s="35" t="s">
        <v>164</v>
      </c>
      <c r="P41" s="35" t="s">
        <v>2109</v>
      </c>
    </row>
    <row r="42" spans="1:16" ht="409.6" x14ac:dyDescent="0.25">
      <c r="A42" s="35">
        <v>40</v>
      </c>
      <c r="B42" s="34" t="s">
        <v>15278</v>
      </c>
      <c r="C42" s="35"/>
      <c r="D42" s="34" t="s">
        <v>15279</v>
      </c>
      <c r="E42" s="34" t="s">
        <v>15280</v>
      </c>
      <c r="F42" s="34" t="s">
        <v>15281</v>
      </c>
      <c r="G42" s="34" t="s">
        <v>15282</v>
      </c>
      <c r="H42" s="34"/>
      <c r="I42" s="35">
        <v>4</v>
      </c>
      <c r="J42" s="34" t="s">
        <v>15283</v>
      </c>
      <c r="K42" s="35"/>
      <c r="L42" s="34" t="s">
        <v>15111</v>
      </c>
      <c r="M42" s="35" t="s">
        <v>9</v>
      </c>
      <c r="N42" s="34" t="s">
        <v>15284</v>
      </c>
      <c r="O42" s="35" t="s">
        <v>164</v>
      </c>
      <c r="P42" s="35" t="s">
        <v>2109</v>
      </c>
    </row>
    <row r="43" spans="1:16" ht="409.6" x14ac:dyDescent="0.25">
      <c r="A43" s="35">
        <v>41</v>
      </c>
      <c r="B43" s="34" t="s">
        <v>15285</v>
      </c>
      <c r="C43" s="35" t="s">
        <v>15286</v>
      </c>
      <c r="D43" s="34" t="s">
        <v>15287</v>
      </c>
      <c r="E43" s="34" t="s">
        <v>15288</v>
      </c>
      <c r="F43" s="34" t="s">
        <v>15289</v>
      </c>
      <c r="G43" s="34" t="s">
        <v>10154</v>
      </c>
      <c r="H43" s="34" t="s">
        <v>15290</v>
      </c>
      <c r="I43" s="35">
        <v>1</v>
      </c>
      <c r="J43" s="34" t="s">
        <v>15291</v>
      </c>
      <c r="K43" s="35"/>
      <c r="L43" s="34" t="s">
        <v>15111</v>
      </c>
      <c r="M43" s="35" t="s">
        <v>9</v>
      </c>
      <c r="N43" s="34" t="s">
        <v>15292</v>
      </c>
      <c r="O43" s="35" t="s">
        <v>164</v>
      </c>
      <c r="P43" s="35" t="s">
        <v>2155</v>
      </c>
    </row>
    <row r="44" spans="1:16" ht="409.6" x14ac:dyDescent="0.25">
      <c r="A44" s="35">
        <v>42</v>
      </c>
      <c r="B44" s="34" t="s">
        <v>15293</v>
      </c>
      <c r="C44" s="35"/>
      <c r="D44" s="34" t="s">
        <v>15294</v>
      </c>
      <c r="E44" s="34" t="s">
        <v>15295</v>
      </c>
      <c r="F44" s="34" t="s">
        <v>15296</v>
      </c>
      <c r="G44" s="34" t="s">
        <v>15297</v>
      </c>
      <c r="H44" s="34" t="s">
        <v>15298</v>
      </c>
      <c r="I44" s="35">
        <v>1</v>
      </c>
      <c r="J44" s="34" t="s">
        <v>15299</v>
      </c>
      <c r="K44" s="35"/>
      <c r="L44" s="34" t="s">
        <v>15111</v>
      </c>
      <c r="M44" s="35" t="s">
        <v>9</v>
      </c>
      <c r="N44" s="34" t="s">
        <v>15300</v>
      </c>
      <c r="O44" s="35" t="s">
        <v>164</v>
      </c>
      <c r="P44" s="35" t="s">
        <v>2155</v>
      </c>
    </row>
    <row r="45" spans="1:16" ht="409.6" x14ac:dyDescent="0.25">
      <c r="A45" s="35">
        <v>43</v>
      </c>
      <c r="B45" s="34" t="s">
        <v>15301</v>
      </c>
      <c r="C45" s="35"/>
      <c r="D45" s="34" t="s">
        <v>15302</v>
      </c>
      <c r="E45" s="34" t="s">
        <v>15303</v>
      </c>
      <c r="F45" s="34" t="s">
        <v>15304</v>
      </c>
      <c r="G45" s="34" t="s">
        <v>15305</v>
      </c>
      <c r="H45" s="34" t="s">
        <v>15306</v>
      </c>
      <c r="I45" s="35">
        <v>1</v>
      </c>
      <c r="J45" s="34" t="s">
        <v>15307</v>
      </c>
      <c r="K45" s="35"/>
      <c r="L45" s="34" t="s">
        <v>15164</v>
      </c>
      <c r="M45" s="35" t="s">
        <v>9</v>
      </c>
      <c r="N45" s="34" t="s">
        <v>15308</v>
      </c>
      <c r="O45" s="35" t="s">
        <v>164</v>
      </c>
      <c r="P45" s="35" t="s">
        <v>2155</v>
      </c>
    </row>
    <row r="46" spans="1:16" ht="409.6" x14ac:dyDescent="0.25">
      <c r="A46" s="35">
        <v>44</v>
      </c>
      <c r="B46" s="34" t="s">
        <v>15309</v>
      </c>
      <c r="C46" s="35"/>
      <c r="D46" s="34" t="s">
        <v>14794</v>
      </c>
      <c r="E46" s="34" t="s">
        <v>14795</v>
      </c>
      <c r="F46" s="34" t="s">
        <v>15310</v>
      </c>
      <c r="G46" s="34" t="s">
        <v>15311</v>
      </c>
      <c r="H46" s="34" t="s">
        <v>15312</v>
      </c>
      <c r="I46" s="35">
        <v>1</v>
      </c>
      <c r="J46" s="34" t="s">
        <v>15313</v>
      </c>
      <c r="K46" s="35"/>
      <c r="L46" s="34" t="s">
        <v>15111</v>
      </c>
      <c r="M46" s="35" t="s">
        <v>9</v>
      </c>
      <c r="N46" s="34" t="s">
        <v>15314</v>
      </c>
      <c r="O46" s="35" t="s">
        <v>164</v>
      </c>
      <c r="P46" s="35" t="s">
        <v>2155</v>
      </c>
    </row>
    <row r="47" spans="1:16" ht="409.6" x14ac:dyDescent="0.25">
      <c r="A47" s="35">
        <v>45</v>
      </c>
      <c r="B47" s="34" t="s">
        <v>15315</v>
      </c>
      <c r="C47" s="35"/>
      <c r="D47" s="34" t="s">
        <v>15316</v>
      </c>
      <c r="E47" s="34" t="s">
        <v>1903</v>
      </c>
      <c r="F47" s="34" t="s">
        <v>15317</v>
      </c>
      <c r="G47" s="34" t="s">
        <v>15318</v>
      </c>
      <c r="H47" s="34" t="s">
        <v>15319</v>
      </c>
      <c r="I47" s="35">
        <v>1</v>
      </c>
      <c r="J47" s="34" t="s">
        <v>15320</v>
      </c>
      <c r="K47" s="35"/>
      <c r="L47" s="34" t="s">
        <v>15111</v>
      </c>
      <c r="M47" s="35" t="s">
        <v>9</v>
      </c>
      <c r="N47" s="34" t="s">
        <v>15321</v>
      </c>
      <c r="O47" s="35" t="s">
        <v>164</v>
      </c>
      <c r="P47" s="35" t="s">
        <v>2155</v>
      </c>
    </row>
    <row r="48" spans="1:16" ht="409.6" x14ac:dyDescent="0.25">
      <c r="A48" s="35">
        <v>46</v>
      </c>
      <c r="B48" s="34" t="s">
        <v>15322</v>
      </c>
      <c r="C48" s="35"/>
      <c r="D48" s="34" t="s">
        <v>15323</v>
      </c>
      <c r="E48" s="34" t="s">
        <v>15324</v>
      </c>
      <c r="F48" s="34" t="s">
        <v>15325</v>
      </c>
      <c r="G48" s="34" t="s">
        <v>15326</v>
      </c>
      <c r="H48" s="34" t="s">
        <v>15327</v>
      </c>
      <c r="I48" s="35">
        <v>1</v>
      </c>
      <c r="J48" s="34" t="s">
        <v>15328</v>
      </c>
      <c r="K48" s="35"/>
      <c r="L48" s="34" t="s">
        <v>15111</v>
      </c>
      <c r="M48" s="35" t="s">
        <v>9</v>
      </c>
      <c r="N48" s="34" t="s">
        <v>15329</v>
      </c>
      <c r="O48" s="35" t="s">
        <v>164</v>
      </c>
      <c r="P48" s="35" t="s">
        <v>2155</v>
      </c>
    </row>
    <row r="49" spans="1:16" ht="409.6" x14ac:dyDescent="0.25">
      <c r="A49" s="35">
        <v>47</v>
      </c>
      <c r="B49" s="34" t="s">
        <v>15330</v>
      </c>
      <c r="C49" s="35"/>
      <c r="D49" s="34" t="s">
        <v>15331</v>
      </c>
      <c r="E49" s="34" t="s">
        <v>15332</v>
      </c>
      <c r="F49" s="34" t="s">
        <v>15333</v>
      </c>
      <c r="G49" s="34" t="s">
        <v>12770</v>
      </c>
      <c r="H49" s="34" t="s">
        <v>15334</v>
      </c>
      <c r="I49" s="35">
        <v>1</v>
      </c>
      <c r="J49" s="34" t="s">
        <v>15335</v>
      </c>
      <c r="K49" s="35"/>
      <c r="L49" s="34" t="s">
        <v>15111</v>
      </c>
      <c r="M49" s="35" t="s">
        <v>9</v>
      </c>
      <c r="N49" s="34" t="s">
        <v>15336</v>
      </c>
      <c r="O49" s="35" t="s">
        <v>164</v>
      </c>
      <c r="P49" s="35" t="s">
        <v>2155</v>
      </c>
    </row>
    <row r="50" spans="1:16" ht="409.6" x14ac:dyDescent="0.25">
      <c r="A50" s="35">
        <v>48</v>
      </c>
      <c r="B50" s="34" t="s">
        <v>15337</v>
      </c>
      <c r="C50" s="35"/>
      <c r="D50" s="34" t="s">
        <v>15338</v>
      </c>
      <c r="E50" s="34" t="s">
        <v>15339</v>
      </c>
      <c r="F50" s="34" t="s">
        <v>13733</v>
      </c>
      <c r="G50" s="34" t="s">
        <v>13734</v>
      </c>
      <c r="H50" s="34" t="s">
        <v>15340</v>
      </c>
      <c r="I50" s="35">
        <v>1</v>
      </c>
      <c r="J50" s="34" t="s">
        <v>15341</v>
      </c>
      <c r="K50" s="35"/>
      <c r="L50" s="34" t="s">
        <v>15111</v>
      </c>
      <c r="M50" s="35" t="s">
        <v>9</v>
      </c>
      <c r="N50" s="34" t="s">
        <v>15342</v>
      </c>
      <c r="O50" s="35" t="s">
        <v>164</v>
      </c>
      <c r="P50" s="35" t="s">
        <v>2155</v>
      </c>
    </row>
    <row r="51" spans="1:16" ht="409.6" x14ac:dyDescent="0.25">
      <c r="A51" s="35">
        <v>49</v>
      </c>
      <c r="B51" s="34" t="s">
        <v>15343</v>
      </c>
      <c r="C51" s="35" t="s">
        <v>15344</v>
      </c>
      <c r="D51" s="34" t="s">
        <v>15345</v>
      </c>
      <c r="E51" s="34" t="s">
        <v>15346</v>
      </c>
      <c r="F51" s="34" t="s">
        <v>15347</v>
      </c>
      <c r="G51" s="34" t="s">
        <v>15348</v>
      </c>
      <c r="H51" s="34" t="s">
        <v>15349</v>
      </c>
      <c r="I51" s="35">
        <v>1</v>
      </c>
      <c r="J51" s="34" t="s">
        <v>15350</v>
      </c>
      <c r="K51" s="35"/>
      <c r="L51" s="34" t="s">
        <v>15111</v>
      </c>
      <c r="M51" s="35" t="s">
        <v>9</v>
      </c>
      <c r="N51" s="34" t="s">
        <v>15351</v>
      </c>
      <c r="O51" s="35" t="s">
        <v>164</v>
      </c>
      <c r="P51" s="35" t="s">
        <v>2155</v>
      </c>
    </row>
    <row r="52" spans="1:16" ht="409.6" x14ac:dyDescent="0.25">
      <c r="A52" s="35">
        <v>50</v>
      </c>
      <c r="B52" s="34" t="s">
        <v>15352</v>
      </c>
      <c r="C52" s="35"/>
      <c r="D52" s="34" t="s">
        <v>15353</v>
      </c>
      <c r="E52" s="34" t="s">
        <v>15354</v>
      </c>
      <c r="F52" s="34" t="s">
        <v>15355</v>
      </c>
      <c r="G52" s="34" t="s">
        <v>15356</v>
      </c>
      <c r="H52" s="34" t="s">
        <v>15357</v>
      </c>
      <c r="I52" s="35">
        <v>1</v>
      </c>
      <c r="J52" s="34" t="s">
        <v>15358</v>
      </c>
      <c r="K52" s="35"/>
      <c r="L52" s="34" t="s">
        <v>15111</v>
      </c>
      <c r="M52" s="35" t="s">
        <v>9</v>
      </c>
      <c r="N52" s="34" t="s">
        <v>15359</v>
      </c>
      <c r="O52" s="35" t="s">
        <v>164</v>
      </c>
      <c r="P52" s="35" t="s">
        <v>2155</v>
      </c>
    </row>
    <row r="53" spans="1:16" ht="409.6" x14ac:dyDescent="0.25">
      <c r="A53" s="35">
        <v>51</v>
      </c>
      <c r="B53" s="34" t="s">
        <v>15360</v>
      </c>
      <c r="C53" s="35"/>
      <c r="D53" s="34" t="s">
        <v>15361</v>
      </c>
      <c r="E53" s="34" t="s">
        <v>15362</v>
      </c>
      <c r="F53" s="34" t="s">
        <v>15363</v>
      </c>
      <c r="G53" s="34" t="s">
        <v>15364</v>
      </c>
      <c r="H53" s="34"/>
      <c r="I53" s="35">
        <v>3</v>
      </c>
      <c r="J53" s="34" t="s">
        <v>15365</v>
      </c>
      <c r="K53" s="35"/>
      <c r="L53" s="34" t="s">
        <v>15111</v>
      </c>
      <c r="M53" s="35" t="s">
        <v>9</v>
      </c>
      <c r="N53" s="34" t="s">
        <v>15366</v>
      </c>
      <c r="O53" s="35" t="s">
        <v>164</v>
      </c>
      <c r="P53" s="35" t="s">
        <v>2155</v>
      </c>
    </row>
    <row r="54" spans="1:16" ht="409.6" x14ac:dyDescent="0.25">
      <c r="A54" s="35">
        <v>52</v>
      </c>
      <c r="B54" s="34" t="s">
        <v>15367</v>
      </c>
      <c r="C54" s="35"/>
      <c r="D54" s="34" t="s">
        <v>15316</v>
      </c>
      <c r="E54" s="34" t="s">
        <v>2827</v>
      </c>
      <c r="F54" s="34" t="s">
        <v>1903</v>
      </c>
      <c r="G54" s="34" t="s">
        <v>15368</v>
      </c>
      <c r="H54" s="34" t="s">
        <v>15369</v>
      </c>
      <c r="I54" s="35">
        <v>1</v>
      </c>
      <c r="J54" s="34" t="s">
        <v>15370</v>
      </c>
      <c r="K54" s="35"/>
      <c r="L54" s="34" t="s">
        <v>15111</v>
      </c>
      <c r="M54" s="35" t="s">
        <v>9</v>
      </c>
      <c r="N54" s="34" t="s">
        <v>15371</v>
      </c>
      <c r="O54" s="35" t="s">
        <v>164</v>
      </c>
      <c r="P54" s="35" t="s">
        <v>2155</v>
      </c>
    </row>
    <row r="55" spans="1:16" ht="409.6" x14ac:dyDescent="0.25">
      <c r="A55" s="35">
        <v>53</v>
      </c>
      <c r="B55" s="34" t="s">
        <v>15372</v>
      </c>
      <c r="C55" s="35"/>
      <c r="D55" s="34" t="s">
        <v>15373</v>
      </c>
      <c r="E55" s="34" t="s">
        <v>15374</v>
      </c>
      <c r="F55" s="34" t="s">
        <v>15375</v>
      </c>
      <c r="G55" s="34" t="s">
        <v>15376</v>
      </c>
      <c r="H55" s="34" t="s">
        <v>15377</v>
      </c>
      <c r="I55" s="35">
        <v>1</v>
      </c>
      <c r="J55" s="34" t="s">
        <v>15378</v>
      </c>
      <c r="K55" s="35"/>
      <c r="L55" s="34" t="s">
        <v>15111</v>
      </c>
      <c r="M55" s="35" t="s">
        <v>9</v>
      </c>
      <c r="N55" s="34" t="s">
        <v>15379</v>
      </c>
      <c r="O55" s="35" t="s">
        <v>164</v>
      </c>
      <c r="P55" s="35" t="s">
        <v>2155</v>
      </c>
    </row>
    <row r="56" spans="1:16" ht="409.6" x14ac:dyDescent="0.25">
      <c r="A56" s="35">
        <v>54</v>
      </c>
      <c r="B56" s="34" t="s">
        <v>15380</v>
      </c>
      <c r="C56" s="35"/>
      <c r="D56" s="34" t="s">
        <v>15381</v>
      </c>
      <c r="E56" s="34" t="s">
        <v>12171</v>
      </c>
      <c r="F56" s="34" t="s">
        <v>15382</v>
      </c>
      <c r="G56" s="34" t="s">
        <v>15383</v>
      </c>
      <c r="H56" s="34" t="s">
        <v>15384</v>
      </c>
      <c r="I56" s="35">
        <v>1</v>
      </c>
      <c r="J56" s="34" t="s">
        <v>15385</v>
      </c>
      <c r="K56" s="35"/>
      <c r="L56" s="34" t="s">
        <v>15111</v>
      </c>
      <c r="M56" s="35" t="s">
        <v>9</v>
      </c>
      <c r="N56" s="34" t="s">
        <v>15386</v>
      </c>
      <c r="O56" s="35" t="s">
        <v>164</v>
      </c>
      <c r="P56" s="35" t="s">
        <v>2155</v>
      </c>
    </row>
    <row r="57" spans="1:16" ht="409.6" x14ac:dyDescent="0.25">
      <c r="A57" s="35">
        <v>55</v>
      </c>
      <c r="B57" s="34" t="s">
        <v>15387</v>
      </c>
      <c r="C57" s="35" t="s">
        <v>14808</v>
      </c>
      <c r="D57" s="34" t="s">
        <v>15388</v>
      </c>
      <c r="E57" s="34" t="s">
        <v>15389</v>
      </c>
      <c r="F57" s="34" t="s">
        <v>15390</v>
      </c>
      <c r="G57" s="34" t="s">
        <v>15391</v>
      </c>
      <c r="H57" s="34" t="s">
        <v>15392</v>
      </c>
      <c r="I57" s="35">
        <v>1</v>
      </c>
      <c r="J57" s="34" t="s">
        <v>15393</v>
      </c>
      <c r="K57" s="35"/>
      <c r="L57" s="34" t="s">
        <v>15111</v>
      </c>
      <c r="M57" s="35" t="s">
        <v>9</v>
      </c>
      <c r="N57" s="34" t="s">
        <v>15394</v>
      </c>
      <c r="O57" s="35" t="s">
        <v>164</v>
      </c>
      <c r="P57" s="35" t="s">
        <v>2155</v>
      </c>
    </row>
    <row r="58" spans="1:16" ht="409.6" x14ac:dyDescent="0.25">
      <c r="A58" s="35">
        <v>56</v>
      </c>
      <c r="B58" s="34" t="s">
        <v>15395</v>
      </c>
      <c r="C58" s="35"/>
      <c r="D58" s="34" t="s">
        <v>15396</v>
      </c>
      <c r="E58" s="34" t="s">
        <v>15397</v>
      </c>
      <c r="F58" s="34" t="s">
        <v>15398</v>
      </c>
      <c r="G58" s="34" t="s">
        <v>15399</v>
      </c>
      <c r="H58" s="34" t="s">
        <v>15400</v>
      </c>
      <c r="I58" s="35">
        <v>1</v>
      </c>
      <c r="J58" s="34" t="s">
        <v>15401</v>
      </c>
      <c r="K58" s="35"/>
      <c r="L58" s="34" t="s">
        <v>15111</v>
      </c>
      <c r="M58" s="35" t="s">
        <v>9</v>
      </c>
      <c r="N58" s="34" t="s">
        <v>15402</v>
      </c>
      <c r="O58" s="35" t="s">
        <v>164</v>
      </c>
      <c r="P58" s="35" t="s">
        <v>2155</v>
      </c>
    </row>
    <row r="59" spans="1:16" ht="409.6" x14ac:dyDescent="0.25">
      <c r="A59" s="35">
        <v>57</v>
      </c>
      <c r="B59" s="34" t="s">
        <v>15403</v>
      </c>
      <c r="C59" s="35"/>
      <c r="D59" s="34" t="s">
        <v>15404</v>
      </c>
      <c r="E59" s="34" t="s">
        <v>15405</v>
      </c>
      <c r="F59" s="34" t="s">
        <v>15406</v>
      </c>
      <c r="G59" s="34" t="s">
        <v>15407</v>
      </c>
      <c r="H59" s="34" t="s">
        <v>15408</v>
      </c>
      <c r="I59" s="35">
        <v>1</v>
      </c>
      <c r="J59" s="34" t="s">
        <v>15409</v>
      </c>
      <c r="K59" s="35"/>
      <c r="L59" s="34" t="s">
        <v>15111</v>
      </c>
      <c r="M59" s="35" t="s">
        <v>9</v>
      </c>
      <c r="N59" s="34" t="s">
        <v>15410</v>
      </c>
      <c r="O59" s="35" t="s">
        <v>164</v>
      </c>
      <c r="P59" s="35" t="s">
        <v>2155</v>
      </c>
    </row>
    <row r="60" spans="1:16" ht="409.6" x14ac:dyDescent="0.25">
      <c r="A60" s="35">
        <v>58</v>
      </c>
      <c r="B60" s="34" t="s">
        <v>15411</v>
      </c>
      <c r="C60" s="35"/>
      <c r="D60" s="34" t="s">
        <v>15412</v>
      </c>
      <c r="E60" s="34" t="s">
        <v>15413</v>
      </c>
      <c r="F60" s="34" t="s">
        <v>15414</v>
      </c>
      <c r="G60" s="34" t="s">
        <v>15415</v>
      </c>
      <c r="H60" s="34" t="s">
        <v>15416</v>
      </c>
      <c r="I60" s="35">
        <v>1</v>
      </c>
      <c r="J60" s="34" t="s">
        <v>15417</v>
      </c>
      <c r="K60" s="35"/>
      <c r="L60" s="34" t="s">
        <v>15111</v>
      </c>
      <c r="M60" s="35" t="s">
        <v>9</v>
      </c>
      <c r="N60" s="34" t="s">
        <v>15418</v>
      </c>
      <c r="O60" s="35" t="s">
        <v>164</v>
      </c>
      <c r="P60" s="35" t="s">
        <v>2155</v>
      </c>
    </row>
    <row r="61" spans="1:16" ht="409.6" x14ac:dyDescent="0.25">
      <c r="A61" s="35">
        <v>59</v>
      </c>
      <c r="B61" s="34" t="s">
        <v>15419</v>
      </c>
      <c r="C61" s="35"/>
      <c r="D61" s="34" t="s">
        <v>15420</v>
      </c>
      <c r="E61" s="34" t="s">
        <v>15421</v>
      </c>
      <c r="F61" s="34" t="s">
        <v>15422</v>
      </c>
      <c r="G61" s="34" t="s">
        <v>15423</v>
      </c>
      <c r="H61" s="34" t="s">
        <v>15424</v>
      </c>
      <c r="I61" s="35">
        <v>1</v>
      </c>
      <c r="J61" s="34" t="s">
        <v>15425</v>
      </c>
      <c r="K61" s="35"/>
      <c r="L61" s="34" t="s">
        <v>15111</v>
      </c>
      <c r="M61" s="35" t="s">
        <v>9</v>
      </c>
      <c r="N61" s="34" t="s">
        <v>15426</v>
      </c>
      <c r="O61" s="35" t="s">
        <v>164</v>
      </c>
      <c r="P61" s="35" t="s">
        <v>2155</v>
      </c>
    </row>
    <row r="62" spans="1:16" ht="409.6" x14ac:dyDescent="0.25">
      <c r="A62" s="35">
        <v>60</v>
      </c>
      <c r="B62" s="34" t="s">
        <v>15427</v>
      </c>
      <c r="C62" s="35"/>
      <c r="D62" s="34" t="s">
        <v>15428</v>
      </c>
      <c r="E62" s="34" t="s">
        <v>15429</v>
      </c>
      <c r="F62" s="34" t="s">
        <v>15430</v>
      </c>
      <c r="G62" s="34" t="s">
        <v>15431</v>
      </c>
      <c r="H62" s="34" t="s">
        <v>15432</v>
      </c>
      <c r="I62" s="35">
        <v>1</v>
      </c>
      <c r="J62" s="34" t="s">
        <v>15433</v>
      </c>
      <c r="K62" s="35"/>
      <c r="L62" s="34" t="s">
        <v>15111</v>
      </c>
      <c r="M62" s="35" t="s">
        <v>9</v>
      </c>
      <c r="N62" s="34" t="s">
        <v>15434</v>
      </c>
      <c r="O62" s="35" t="s">
        <v>164</v>
      </c>
      <c r="P62" s="35" t="s">
        <v>2155</v>
      </c>
    </row>
    <row r="63" spans="1:16" ht="409.6" x14ac:dyDescent="0.25">
      <c r="A63" s="35">
        <v>61</v>
      </c>
      <c r="B63" s="34" t="s">
        <v>15435</v>
      </c>
      <c r="C63" s="35"/>
      <c r="D63" s="34" t="s">
        <v>15436</v>
      </c>
      <c r="E63" s="34" t="s">
        <v>15437</v>
      </c>
      <c r="F63" s="34" t="s">
        <v>15438</v>
      </c>
      <c r="G63" s="34" t="s">
        <v>15439</v>
      </c>
      <c r="H63" s="34" t="s">
        <v>15440</v>
      </c>
      <c r="I63" s="35">
        <v>1</v>
      </c>
      <c r="J63" s="34" t="s">
        <v>15441</v>
      </c>
      <c r="K63" s="35"/>
      <c r="L63" s="34" t="s">
        <v>15111</v>
      </c>
      <c r="M63" s="35" t="s">
        <v>9</v>
      </c>
      <c r="N63" s="34" t="s">
        <v>15442</v>
      </c>
      <c r="O63" s="35" t="s">
        <v>164</v>
      </c>
      <c r="P63" s="35" t="s">
        <v>2155</v>
      </c>
    </row>
    <row r="64" spans="1:16" ht="409.6" x14ac:dyDescent="0.25">
      <c r="A64" s="35">
        <v>62</v>
      </c>
      <c r="B64" s="34" t="s">
        <v>15443</v>
      </c>
      <c r="C64" s="35"/>
      <c r="D64" s="34" t="s">
        <v>96</v>
      </c>
      <c r="E64" s="34" t="s">
        <v>90</v>
      </c>
      <c r="F64" s="34" t="s">
        <v>113</v>
      </c>
      <c r="G64" s="34" t="s">
        <v>123</v>
      </c>
      <c r="H64" s="34" t="s">
        <v>15444</v>
      </c>
      <c r="I64" s="35">
        <v>1</v>
      </c>
      <c r="J64" s="34" t="s">
        <v>15445</v>
      </c>
      <c r="K64" s="35"/>
      <c r="L64" s="34" t="s">
        <v>15111</v>
      </c>
      <c r="M64" s="35" t="s">
        <v>9</v>
      </c>
      <c r="N64" s="34" t="s">
        <v>15446</v>
      </c>
      <c r="O64" s="35" t="s">
        <v>164</v>
      </c>
      <c r="P64" s="35" t="s">
        <v>2155</v>
      </c>
    </row>
    <row r="65" spans="1:16" ht="409.6" x14ac:dyDescent="0.25">
      <c r="A65" s="35">
        <v>63</v>
      </c>
      <c r="B65" s="34" t="s">
        <v>15447</v>
      </c>
      <c r="C65" s="35"/>
      <c r="D65" s="34" t="s">
        <v>15448</v>
      </c>
      <c r="E65" s="34" t="s">
        <v>15449</v>
      </c>
      <c r="F65" s="34" t="s">
        <v>15450</v>
      </c>
      <c r="G65" s="34" t="s">
        <v>15451</v>
      </c>
      <c r="H65" s="34" t="s">
        <v>15452</v>
      </c>
      <c r="I65" s="35">
        <v>1</v>
      </c>
      <c r="J65" s="34" t="s">
        <v>15453</v>
      </c>
      <c r="K65" s="35"/>
      <c r="L65" s="34" t="s">
        <v>15111</v>
      </c>
      <c r="M65" s="35" t="s">
        <v>9</v>
      </c>
      <c r="N65" s="34" t="s">
        <v>15454</v>
      </c>
      <c r="O65" s="35" t="s">
        <v>164</v>
      </c>
      <c r="P65" s="35" t="s">
        <v>2155</v>
      </c>
    </row>
    <row r="66" spans="1:16" ht="409.6" x14ac:dyDescent="0.25">
      <c r="A66" s="35">
        <v>64</v>
      </c>
      <c r="B66" s="34" t="s">
        <v>15455</v>
      </c>
      <c r="C66" s="35"/>
      <c r="D66" s="34" t="s">
        <v>15456</v>
      </c>
      <c r="E66" s="34" t="s">
        <v>3530</v>
      </c>
      <c r="F66" s="34" t="s">
        <v>8368</v>
      </c>
      <c r="G66" s="34" t="s">
        <v>3318</v>
      </c>
      <c r="H66" s="34" t="s">
        <v>15457</v>
      </c>
      <c r="I66" s="35">
        <v>1</v>
      </c>
      <c r="J66" s="34" t="s">
        <v>15458</v>
      </c>
      <c r="K66" s="35"/>
      <c r="L66" s="34" t="s">
        <v>15111</v>
      </c>
      <c r="M66" s="35" t="s">
        <v>9</v>
      </c>
      <c r="N66" s="34" t="s">
        <v>15459</v>
      </c>
      <c r="O66" s="35" t="s">
        <v>164</v>
      </c>
      <c r="P66" s="35" t="s">
        <v>2155</v>
      </c>
    </row>
    <row r="67" spans="1:16" ht="409.6" x14ac:dyDescent="0.25">
      <c r="A67" s="35">
        <v>65</v>
      </c>
      <c r="B67" s="34" t="s">
        <v>15460</v>
      </c>
      <c r="C67" s="35"/>
      <c r="D67" s="34" t="s">
        <v>14721</v>
      </c>
      <c r="E67" s="34" t="s">
        <v>15461</v>
      </c>
      <c r="F67" s="34" t="s">
        <v>14720</v>
      </c>
      <c r="G67" s="34" t="s">
        <v>14722</v>
      </c>
      <c r="H67" s="34" t="s">
        <v>15462</v>
      </c>
      <c r="I67" s="35">
        <v>1</v>
      </c>
      <c r="J67" s="34" t="s">
        <v>15463</v>
      </c>
      <c r="K67" s="35"/>
      <c r="L67" s="34" t="s">
        <v>15164</v>
      </c>
      <c r="M67" s="35" t="s">
        <v>9</v>
      </c>
      <c r="N67" s="34" t="s">
        <v>15464</v>
      </c>
      <c r="O67" s="35" t="s">
        <v>164</v>
      </c>
      <c r="P67" s="35" t="s">
        <v>2155</v>
      </c>
    </row>
    <row r="68" spans="1:16" ht="409.6" x14ac:dyDescent="0.25">
      <c r="A68" s="35">
        <v>66</v>
      </c>
      <c r="B68" s="34" t="s">
        <v>15465</v>
      </c>
      <c r="C68" s="35"/>
      <c r="D68" s="34" t="s">
        <v>15466</v>
      </c>
      <c r="E68" s="34" t="s">
        <v>15467</v>
      </c>
      <c r="F68" s="34" t="s">
        <v>15468</v>
      </c>
      <c r="G68" s="34" t="s">
        <v>15469</v>
      </c>
      <c r="H68" s="34" t="s">
        <v>15470</v>
      </c>
      <c r="I68" s="35">
        <v>1</v>
      </c>
      <c r="J68" s="34" t="s">
        <v>15471</v>
      </c>
      <c r="K68" s="35"/>
      <c r="L68" s="34" t="s">
        <v>15111</v>
      </c>
      <c r="M68" s="35" t="s">
        <v>9</v>
      </c>
      <c r="N68" s="34" t="s">
        <v>15472</v>
      </c>
      <c r="O68" s="35" t="s">
        <v>164</v>
      </c>
      <c r="P68" s="35" t="s">
        <v>2155</v>
      </c>
    </row>
    <row r="69" spans="1:16" ht="409.6" x14ac:dyDescent="0.25">
      <c r="A69" s="35">
        <v>67</v>
      </c>
      <c r="B69" s="34" t="s">
        <v>15473</v>
      </c>
      <c r="C69" s="35"/>
      <c r="D69" s="34" t="s">
        <v>15381</v>
      </c>
      <c r="E69" s="34" t="s">
        <v>12171</v>
      </c>
      <c r="F69" s="34" t="s">
        <v>15382</v>
      </c>
      <c r="G69" s="34" t="s">
        <v>15383</v>
      </c>
      <c r="H69" s="34" t="s">
        <v>15474</v>
      </c>
      <c r="I69" s="35">
        <v>4</v>
      </c>
      <c r="J69" s="34" t="s">
        <v>15475</v>
      </c>
      <c r="K69" s="35"/>
      <c r="L69" s="34" t="s">
        <v>15111</v>
      </c>
      <c r="M69" s="35" t="s">
        <v>9</v>
      </c>
      <c r="N69" s="34" t="s">
        <v>15476</v>
      </c>
      <c r="O69" s="35" t="s">
        <v>164</v>
      </c>
      <c r="P69" s="35" t="s">
        <v>3354</v>
      </c>
    </row>
    <row r="70" spans="1:16" ht="409.6" x14ac:dyDescent="0.25">
      <c r="A70" s="35">
        <v>68</v>
      </c>
      <c r="B70" s="34" t="s">
        <v>15477</v>
      </c>
      <c r="C70" s="35"/>
      <c r="D70" s="34" t="s">
        <v>3524</v>
      </c>
      <c r="E70" s="34" t="s">
        <v>3181</v>
      </c>
      <c r="F70" s="34" t="s">
        <v>3185</v>
      </c>
      <c r="G70" s="34" t="s">
        <v>15478</v>
      </c>
      <c r="H70" s="34" t="s">
        <v>15479</v>
      </c>
      <c r="I70" s="35">
        <v>4</v>
      </c>
      <c r="J70" s="34" t="s">
        <v>15480</v>
      </c>
      <c r="K70" s="35"/>
      <c r="L70" s="34" t="s">
        <v>15111</v>
      </c>
      <c r="M70" s="35" t="s">
        <v>9</v>
      </c>
      <c r="N70" s="34" t="s">
        <v>15481</v>
      </c>
      <c r="O70" s="35" t="s">
        <v>164</v>
      </c>
      <c r="P70" s="35" t="s">
        <v>3354</v>
      </c>
    </row>
    <row r="71" spans="1:16" ht="409.6" x14ac:dyDescent="0.25">
      <c r="A71" s="35">
        <v>69</v>
      </c>
      <c r="B71" s="34" t="s">
        <v>15482</v>
      </c>
      <c r="C71" s="35"/>
      <c r="D71" s="34" t="s">
        <v>15483</v>
      </c>
      <c r="E71" s="34" t="s">
        <v>15484</v>
      </c>
      <c r="F71" s="34" t="s">
        <v>15485</v>
      </c>
      <c r="G71" s="34" t="s">
        <v>15486</v>
      </c>
      <c r="H71" s="34" t="s">
        <v>15487</v>
      </c>
      <c r="I71" s="35">
        <v>1</v>
      </c>
      <c r="J71" s="34" t="s">
        <v>15488</v>
      </c>
      <c r="K71" s="35"/>
      <c r="L71" s="34" t="s">
        <v>15111</v>
      </c>
      <c r="M71" s="35" t="s">
        <v>9</v>
      </c>
      <c r="N71" s="34" t="s">
        <v>15489</v>
      </c>
      <c r="O71" s="35" t="s">
        <v>164</v>
      </c>
      <c r="P71" s="35" t="s">
        <v>3354</v>
      </c>
    </row>
    <row r="72" spans="1:16" ht="409.6" x14ac:dyDescent="0.25">
      <c r="A72" s="35">
        <v>70</v>
      </c>
      <c r="B72" s="34" t="s">
        <v>15490</v>
      </c>
      <c r="C72" s="35"/>
      <c r="D72" s="34" t="s">
        <v>15491</v>
      </c>
      <c r="E72" s="34" t="s">
        <v>15374</v>
      </c>
      <c r="F72" s="34" t="s">
        <v>15492</v>
      </c>
      <c r="G72" s="34" t="s">
        <v>15493</v>
      </c>
      <c r="H72" s="34" t="s">
        <v>15494</v>
      </c>
      <c r="I72" s="35">
        <v>3</v>
      </c>
      <c r="J72" s="34" t="s">
        <v>15495</v>
      </c>
      <c r="K72" s="35"/>
      <c r="L72" s="34" t="s">
        <v>15111</v>
      </c>
      <c r="M72" s="35" t="s">
        <v>9</v>
      </c>
      <c r="N72" s="34" t="s">
        <v>15496</v>
      </c>
      <c r="O72" s="35" t="s">
        <v>164</v>
      </c>
      <c r="P72" s="35" t="s">
        <v>3354</v>
      </c>
    </row>
    <row r="73" spans="1:16" ht="409.6" x14ac:dyDescent="0.25">
      <c r="A73" s="35">
        <v>71</v>
      </c>
      <c r="B73" s="34" t="s">
        <v>15497</v>
      </c>
      <c r="C73" s="35" t="s">
        <v>15498</v>
      </c>
      <c r="D73" s="34" t="s">
        <v>4740</v>
      </c>
      <c r="E73" s="34" t="s">
        <v>10342</v>
      </c>
      <c r="F73" s="34" t="s">
        <v>15499</v>
      </c>
      <c r="G73" s="34" t="s">
        <v>15500</v>
      </c>
      <c r="H73" s="34" t="s">
        <v>15501</v>
      </c>
      <c r="I73" s="35">
        <v>3</v>
      </c>
      <c r="J73" s="34" t="s">
        <v>15502</v>
      </c>
      <c r="K73" s="35"/>
      <c r="L73" s="34" t="s">
        <v>15111</v>
      </c>
      <c r="M73" s="35" t="s">
        <v>9</v>
      </c>
      <c r="N73" s="34" t="s">
        <v>15503</v>
      </c>
      <c r="O73" s="35" t="s">
        <v>164</v>
      </c>
      <c r="P73" s="35" t="s">
        <v>3354</v>
      </c>
    </row>
    <row r="74" spans="1:16" ht="409.6" x14ac:dyDescent="0.25">
      <c r="A74" s="35">
        <v>72</v>
      </c>
      <c r="B74" s="34" t="s">
        <v>15504</v>
      </c>
      <c r="C74" s="35"/>
      <c r="D74" s="34" t="s">
        <v>15505</v>
      </c>
      <c r="E74" s="34" t="s">
        <v>15506</v>
      </c>
      <c r="F74" s="34" t="s">
        <v>15507</v>
      </c>
      <c r="G74" s="34" t="s">
        <v>15508</v>
      </c>
      <c r="H74" s="34"/>
      <c r="I74" s="35">
        <v>1</v>
      </c>
      <c r="J74" s="34" t="s">
        <v>15509</v>
      </c>
      <c r="K74" s="35"/>
      <c r="L74" s="34" t="s">
        <v>15111</v>
      </c>
      <c r="M74" s="35" t="s">
        <v>9</v>
      </c>
      <c r="N74" s="34" t="s">
        <v>15510</v>
      </c>
      <c r="O74" s="35" t="s">
        <v>164</v>
      </c>
      <c r="P74" s="35" t="s">
        <v>3354</v>
      </c>
    </row>
    <row r="75" spans="1:16" ht="409.6" x14ac:dyDescent="0.25">
      <c r="A75" s="35">
        <v>73</v>
      </c>
      <c r="B75" s="34" t="s">
        <v>15511</v>
      </c>
      <c r="C75" s="35"/>
      <c r="D75" s="34" t="s">
        <v>5220</v>
      </c>
      <c r="E75" s="34" t="s">
        <v>15512</v>
      </c>
      <c r="F75" s="34" t="s">
        <v>15513</v>
      </c>
      <c r="G75" s="34" t="s">
        <v>4027</v>
      </c>
      <c r="H75" s="34" t="s">
        <v>15514</v>
      </c>
      <c r="I75" s="35">
        <v>1</v>
      </c>
      <c r="J75" s="34" t="s">
        <v>15515</v>
      </c>
      <c r="K75" s="35"/>
      <c r="L75" s="34" t="s">
        <v>15111</v>
      </c>
      <c r="M75" s="35" t="s">
        <v>9</v>
      </c>
      <c r="N75" s="34" t="s">
        <v>15516</v>
      </c>
      <c r="O75" s="35" t="s">
        <v>164</v>
      </c>
      <c r="P75" s="35" t="s">
        <v>3354</v>
      </c>
    </row>
    <row r="76" spans="1:16" ht="409.6" x14ac:dyDescent="0.25">
      <c r="A76" s="35">
        <v>74</v>
      </c>
      <c r="B76" s="34" t="s">
        <v>15517</v>
      </c>
      <c r="C76" s="35"/>
      <c r="D76" s="34" t="s">
        <v>15518</v>
      </c>
      <c r="E76" s="34" t="s">
        <v>15519</v>
      </c>
      <c r="F76" s="34" t="s">
        <v>15520</v>
      </c>
      <c r="G76" s="34" t="s">
        <v>15521</v>
      </c>
      <c r="H76" s="34" t="s">
        <v>15522</v>
      </c>
      <c r="I76" s="35">
        <v>1</v>
      </c>
      <c r="J76" s="34" t="s">
        <v>15523</v>
      </c>
      <c r="K76" s="35"/>
      <c r="L76" s="34" t="s">
        <v>15111</v>
      </c>
      <c r="M76" s="35" t="s">
        <v>9</v>
      </c>
      <c r="N76" s="34" t="s">
        <v>15524</v>
      </c>
      <c r="O76" s="35" t="s">
        <v>164</v>
      </c>
      <c r="P76" s="35" t="s">
        <v>2271</v>
      </c>
    </row>
    <row r="77" spans="1:16" ht="409.6" x14ac:dyDescent="0.25">
      <c r="A77" s="35">
        <v>75</v>
      </c>
      <c r="B77" s="34" t="s">
        <v>15525</v>
      </c>
      <c r="C77" s="35"/>
      <c r="D77" s="34" t="s">
        <v>15526</v>
      </c>
      <c r="E77" s="34" t="s">
        <v>15527</v>
      </c>
      <c r="F77" s="34" t="s">
        <v>15528</v>
      </c>
      <c r="G77" s="34" t="s">
        <v>15529</v>
      </c>
      <c r="H77" s="34" t="s">
        <v>15530</v>
      </c>
      <c r="I77" s="35">
        <v>1</v>
      </c>
      <c r="J77" s="34" t="s">
        <v>15531</v>
      </c>
      <c r="K77" s="35"/>
      <c r="L77" s="34" t="s">
        <v>15111</v>
      </c>
      <c r="M77" s="35" t="s">
        <v>9</v>
      </c>
      <c r="N77" s="34" t="s">
        <v>15532</v>
      </c>
      <c r="O77" s="35" t="s">
        <v>164</v>
      </c>
      <c r="P77" s="35" t="s">
        <v>2271</v>
      </c>
    </row>
    <row r="78" spans="1:16" ht="409.6" x14ac:dyDescent="0.25">
      <c r="A78" s="35">
        <v>76</v>
      </c>
      <c r="B78" s="34" t="s">
        <v>15533</v>
      </c>
      <c r="C78" s="35"/>
      <c r="D78" s="34" t="s">
        <v>14818</v>
      </c>
      <c r="E78" s="34" t="s">
        <v>14817</v>
      </c>
      <c r="F78" s="34" t="s">
        <v>14820</v>
      </c>
      <c r="G78" s="34" t="s">
        <v>14958</v>
      </c>
      <c r="H78" s="34" t="s">
        <v>15534</v>
      </c>
      <c r="I78" s="35">
        <v>1</v>
      </c>
      <c r="J78" s="34" t="s">
        <v>15535</v>
      </c>
      <c r="K78" s="35"/>
      <c r="L78" s="34" t="s">
        <v>15111</v>
      </c>
      <c r="M78" s="35" t="s">
        <v>9</v>
      </c>
      <c r="N78" s="34" t="s">
        <v>15536</v>
      </c>
      <c r="O78" s="35" t="s">
        <v>164</v>
      </c>
      <c r="P78" s="35" t="s">
        <v>2271</v>
      </c>
    </row>
    <row r="79" spans="1:16" ht="409.6" x14ac:dyDescent="0.25">
      <c r="A79" s="35">
        <v>77</v>
      </c>
      <c r="B79" s="34" t="s">
        <v>15537</v>
      </c>
      <c r="C79" s="35"/>
      <c r="D79" s="34" t="s">
        <v>15538</v>
      </c>
      <c r="E79" s="34" t="s">
        <v>11125</v>
      </c>
      <c r="F79" s="34" t="s">
        <v>15539</v>
      </c>
      <c r="G79" s="34" t="s">
        <v>15540</v>
      </c>
      <c r="H79" s="34" t="s">
        <v>13718</v>
      </c>
      <c r="I79" s="35">
        <v>1</v>
      </c>
      <c r="J79" s="34" t="s">
        <v>15541</v>
      </c>
      <c r="K79" s="35"/>
      <c r="L79" s="34" t="s">
        <v>15111</v>
      </c>
      <c r="M79" s="35" t="s">
        <v>9</v>
      </c>
      <c r="N79" s="34" t="s">
        <v>15542</v>
      </c>
      <c r="O79" s="35" t="s">
        <v>164</v>
      </c>
      <c r="P79" s="35" t="s">
        <v>2271</v>
      </c>
    </row>
    <row r="80" spans="1:16" ht="409.6" x14ac:dyDescent="0.25">
      <c r="A80" s="35">
        <v>78</v>
      </c>
      <c r="B80" s="34" t="s">
        <v>15543</v>
      </c>
      <c r="C80" s="35"/>
      <c r="D80" s="34" t="s">
        <v>15544</v>
      </c>
      <c r="E80" s="34" t="s">
        <v>15545</v>
      </c>
      <c r="F80" s="34" t="s">
        <v>15546</v>
      </c>
      <c r="G80" s="34" t="s">
        <v>15547</v>
      </c>
      <c r="H80" s="34" t="s">
        <v>15548</v>
      </c>
      <c r="I80" s="35">
        <v>1</v>
      </c>
      <c r="J80" s="34" t="s">
        <v>15549</v>
      </c>
      <c r="K80" s="35"/>
      <c r="L80" s="34" t="s">
        <v>15111</v>
      </c>
      <c r="M80" s="35" t="s">
        <v>9</v>
      </c>
      <c r="N80" s="34" t="s">
        <v>15550</v>
      </c>
      <c r="O80" s="35" t="s">
        <v>164</v>
      </c>
      <c r="P80" s="35" t="s">
        <v>2271</v>
      </c>
    </row>
    <row r="81" spans="1:16" ht="409.6" x14ac:dyDescent="0.25">
      <c r="A81" s="35">
        <v>79</v>
      </c>
      <c r="B81" s="34" t="s">
        <v>15551</v>
      </c>
      <c r="C81" s="35"/>
      <c r="D81" s="34" t="s">
        <v>15552</v>
      </c>
      <c r="E81" s="34" t="s">
        <v>15553</v>
      </c>
      <c r="F81" s="34" t="s">
        <v>4018</v>
      </c>
      <c r="G81" s="34" t="s">
        <v>8949</v>
      </c>
      <c r="H81" s="34" t="s">
        <v>15554</v>
      </c>
      <c r="I81" s="35">
        <v>1</v>
      </c>
      <c r="J81" s="34" t="s">
        <v>15555</v>
      </c>
      <c r="K81" s="35"/>
      <c r="L81" s="34" t="s">
        <v>15111</v>
      </c>
      <c r="M81" s="35" t="s">
        <v>9</v>
      </c>
      <c r="N81" s="34" t="s">
        <v>15556</v>
      </c>
      <c r="O81" s="35" t="s">
        <v>164</v>
      </c>
      <c r="P81" s="35" t="s">
        <v>2271</v>
      </c>
    </row>
    <row r="82" spans="1:16" ht="409.6" x14ac:dyDescent="0.25">
      <c r="A82" s="35">
        <v>80</v>
      </c>
      <c r="B82" s="34" t="s">
        <v>15557</v>
      </c>
      <c r="C82" s="35" t="s">
        <v>15558</v>
      </c>
      <c r="D82" s="34" t="s">
        <v>2983</v>
      </c>
      <c r="E82" s="34" t="s">
        <v>1458</v>
      </c>
      <c r="F82" s="34" t="s">
        <v>1454</v>
      </c>
      <c r="G82" s="34" t="s">
        <v>15559</v>
      </c>
      <c r="H82" s="34" t="s">
        <v>15560</v>
      </c>
      <c r="I82" s="35">
        <v>1</v>
      </c>
      <c r="J82" s="34" t="s">
        <v>15561</v>
      </c>
      <c r="K82" s="35"/>
      <c r="L82" s="34" t="s">
        <v>15111</v>
      </c>
      <c r="M82" s="35" t="s">
        <v>9</v>
      </c>
      <c r="N82" s="34" t="s">
        <v>15562</v>
      </c>
      <c r="O82" s="35" t="s">
        <v>164</v>
      </c>
      <c r="P82" s="35" t="s">
        <v>2271</v>
      </c>
    </row>
    <row r="83" spans="1:16" ht="409.6" x14ac:dyDescent="0.25">
      <c r="A83" s="35">
        <v>81</v>
      </c>
      <c r="B83" s="34" t="s">
        <v>15563</v>
      </c>
      <c r="C83" s="35"/>
      <c r="D83" s="34" t="s">
        <v>15564</v>
      </c>
      <c r="E83" s="34" t="s">
        <v>15565</v>
      </c>
      <c r="F83" s="34" t="s">
        <v>15566</v>
      </c>
      <c r="G83" s="34" t="s">
        <v>15567</v>
      </c>
      <c r="H83" s="34" t="s">
        <v>15568</v>
      </c>
      <c r="I83" s="35">
        <v>1</v>
      </c>
      <c r="J83" s="34" t="s">
        <v>15569</v>
      </c>
      <c r="K83" s="35"/>
      <c r="L83" s="34" t="s">
        <v>15111</v>
      </c>
      <c r="M83" s="35" t="s">
        <v>9</v>
      </c>
      <c r="N83" s="34" t="s">
        <v>15570</v>
      </c>
      <c r="O83" s="35" t="s">
        <v>164</v>
      </c>
      <c r="P83" s="35" t="s">
        <v>2271</v>
      </c>
    </row>
    <row r="84" spans="1:16" ht="409.6" x14ac:dyDescent="0.25">
      <c r="A84" s="35">
        <v>82</v>
      </c>
      <c r="B84" s="34" t="s">
        <v>15571</v>
      </c>
      <c r="C84" s="35"/>
      <c r="D84" s="34" t="s">
        <v>15428</v>
      </c>
      <c r="E84" s="34" t="s">
        <v>15572</v>
      </c>
      <c r="F84" s="34" t="s">
        <v>15429</v>
      </c>
      <c r="G84" s="34" t="s">
        <v>15431</v>
      </c>
      <c r="H84" s="34" t="s">
        <v>15573</v>
      </c>
      <c r="I84" s="35">
        <v>1</v>
      </c>
      <c r="J84" s="34" t="s">
        <v>15574</v>
      </c>
      <c r="K84" s="35"/>
      <c r="L84" s="34" t="s">
        <v>15111</v>
      </c>
      <c r="M84" s="35" t="s">
        <v>9</v>
      </c>
      <c r="N84" s="34" t="s">
        <v>15575</v>
      </c>
      <c r="O84" s="35" t="s">
        <v>164</v>
      </c>
      <c r="P84" s="35" t="s">
        <v>2271</v>
      </c>
    </row>
    <row r="85" spans="1:16" ht="409.6" x14ac:dyDescent="0.25">
      <c r="A85" s="35">
        <v>83</v>
      </c>
      <c r="B85" s="34" t="s">
        <v>15576</v>
      </c>
      <c r="C85" s="35"/>
      <c r="D85" s="34" t="s">
        <v>15577</v>
      </c>
      <c r="E85" s="34" t="s">
        <v>15578</v>
      </c>
      <c r="F85" s="34" t="s">
        <v>15579</v>
      </c>
      <c r="G85" s="34" t="s">
        <v>15580</v>
      </c>
      <c r="H85" s="34" t="s">
        <v>15581</v>
      </c>
      <c r="I85" s="35">
        <v>1</v>
      </c>
      <c r="J85" s="34" t="s">
        <v>15582</v>
      </c>
      <c r="K85" s="35"/>
      <c r="L85" s="34" t="s">
        <v>15111</v>
      </c>
      <c r="M85" s="35" t="s">
        <v>9</v>
      </c>
      <c r="N85" s="34" t="s">
        <v>15583</v>
      </c>
      <c r="O85" s="35" t="s">
        <v>164</v>
      </c>
      <c r="P85" s="35" t="s">
        <v>2271</v>
      </c>
    </row>
    <row r="86" spans="1:16" ht="409.6" x14ac:dyDescent="0.25">
      <c r="A86" s="35">
        <v>84</v>
      </c>
      <c r="B86" s="34" t="s">
        <v>15584</v>
      </c>
      <c r="C86" s="35"/>
      <c r="D86" s="34" t="s">
        <v>96</v>
      </c>
      <c r="E86" s="34" t="s">
        <v>90</v>
      </c>
      <c r="F86" s="34" t="s">
        <v>113</v>
      </c>
      <c r="G86" s="34" t="s">
        <v>123</v>
      </c>
      <c r="H86" s="34" t="s">
        <v>132</v>
      </c>
      <c r="I86" s="35">
        <v>1</v>
      </c>
      <c r="J86" s="34" t="s">
        <v>15585</v>
      </c>
      <c r="K86" s="35"/>
      <c r="L86" s="34" t="s">
        <v>15111</v>
      </c>
      <c r="M86" s="35" t="s">
        <v>9</v>
      </c>
      <c r="N86" s="34" t="s">
        <v>15586</v>
      </c>
      <c r="O86" s="35" t="s">
        <v>164</v>
      </c>
      <c r="P86" s="35" t="s">
        <v>2271</v>
      </c>
    </row>
    <row r="87" spans="1:16" ht="409.6" x14ac:dyDescent="0.25">
      <c r="A87" s="35">
        <v>85</v>
      </c>
      <c r="B87" s="34" t="s">
        <v>15587</v>
      </c>
      <c r="C87" s="35"/>
      <c r="D87" s="34" t="s">
        <v>15588</v>
      </c>
      <c r="E87" s="34" t="s">
        <v>15589</v>
      </c>
      <c r="F87" s="34" t="s">
        <v>15590</v>
      </c>
      <c r="G87" s="34" t="s">
        <v>15591</v>
      </c>
      <c r="H87" s="34" t="s">
        <v>15592</v>
      </c>
      <c r="I87" s="35">
        <v>1</v>
      </c>
      <c r="J87" s="34" t="s">
        <v>15593</v>
      </c>
      <c r="K87" s="35"/>
      <c r="L87" s="34" t="s">
        <v>15111</v>
      </c>
      <c r="M87" s="35" t="s">
        <v>9</v>
      </c>
      <c r="N87" s="34" t="s">
        <v>15594</v>
      </c>
      <c r="O87" s="35" t="s">
        <v>164</v>
      </c>
      <c r="P87" s="35" t="s">
        <v>2271</v>
      </c>
    </row>
    <row r="88" spans="1:16" ht="409.6" x14ac:dyDescent="0.25">
      <c r="A88" s="35">
        <v>86</v>
      </c>
      <c r="B88" s="34" t="s">
        <v>15595</v>
      </c>
      <c r="C88" s="35"/>
      <c r="D88" s="34" t="s">
        <v>14794</v>
      </c>
      <c r="E88" s="34" t="s">
        <v>14795</v>
      </c>
      <c r="F88" s="34" t="s">
        <v>15310</v>
      </c>
      <c r="G88" s="34" t="s">
        <v>15311</v>
      </c>
      <c r="H88" s="34" t="s">
        <v>15596</v>
      </c>
      <c r="I88" s="35">
        <v>1</v>
      </c>
      <c r="J88" s="34" t="s">
        <v>15597</v>
      </c>
      <c r="K88" s="35"/>
      <c r="L88" s="34" t="s">
        <v>15111</v>
      </c>
      <c r="M88" s="35" t="s">
        <v>9</v>
      </c>
      <c r="N88" s="34" t="s">
        <v>15598</v>
      </c>
      <c r="O88" s="35" t="s">
        <v>164</v>
      </c>
      <c r="P88" s="35" t="s">
        <v>2271</v>
      </c>
    </row>
    <row r="89" spans="1:16" ht="409.6" x14ac:dyDescent="0.25">
      <c r="A89" s="35">
        <v>87</v>
      </c>
      <c r="B89" s="34" t="s">
        <v>15599</v>
      </c>
      <c r="C89" s="35"/>
      <c r="D89" s="34" t="s">
        <v>15600</v>
      </c>
      <c r="E89" s="34" t="s">
        <v>15601</v>
      </c>
      <c r="F89" s="34" t="s">
        <v>15602</v>
      </c>
      <c r="G89" s="34" t="s">
        <v>15603</v>
      </c>
      <c r="H89" s="34" t="s">
        <v>15604</v>
      </c>
      <c r="I89" s="35">
        <v>1</v>
      </c>
      <c r="J89" s="34" t="s">
        <v>15605</v>
      </c>
      <c r="K89" s="35"/>
      <c r="L89" s="34" t="s">
        <v>15164</v>
      </c>
      <c r="M89" s="35" t="s">
        <v>9</v>
      </c>
      <c r="N89" s="34" t="s">
        <v>15606</v>
      </c>
      <c r="O89" s="35" t="s">
        <v>164</v>
      </c>
      <c r="P89" s="35" t="s">
        <v>2271</v>
      </c>
    </row>
    <row r="90" spans="1:16" ht="409.6" x14ac:dyDescent="0.25">
      <c r="A90" s="35">
        <v>88</v>
      </c>
      <c r="B90" s="34" t="s">
        <v>15607</v>
      </c>
      <c r="C90" s="35"/>
      <c r="D90" s="34" t="s">
        <v>15608</v>
      </c>
      <c r="E90" s="34" t="s">
        <v>15609</v>
      </c>
      <c r="F90" s="34" t="s">
        <v>15610</v>
      </c>
      <c r="G90" s="34" t="s">
        <v>15611</v>
      </c>
      <c r="H90" s="34" t="s">
        <v>15612</v>
      </c>
      <c r="I90" s="35">
        <v>1</v>
      </c>
      <c r="J90" s="34" t="s">
        <v>15613</v>
      </c>
      <c r="K90" s="35"/>
      <c r="L90" s="34" t="s">
        <v>15111</v>
      </c>
      <c r="M90" s="35" t="s">
        <v>9</v>
      </c>
      <c r="N90" s="34" t="s">
        <v>15614</v>
      </c>
      <c r="O90" s="35" t="s">
        <v>164</v>
      </c>
      <c r="P90" s="35" t="s">
        <v>2271</v>
      </c>
    </row>
    <row r="91" spans="1:16" ht="409.6" x14ac:dyDescent="0.25">
      <c r="A91" s="35">
        <v>89</v>
      </c>
      <c r="B91" s="34" t="s">
        <v>15615</v>
      </c>
      <c r="C91" s="35"/>
      <c r="D91" s="34" t="s">
        <v>15616</v>
      </c>
      <c r="E91" s="34" t="s">
        <v>15617</v>
      </c>
      <c r="F91" s="34" t="s">
        <v>15618</v>
      </c>
      <c r="G91" s="34" t="s">
        <v>15619</v>
      </c>
      <c r="H91" s="34" t="s">
        <v>15620</v>
      </c>
      <c r="I91" s="35">
        <v>1</v>
      </c>
      <c r="J91" s="34" t="s">
        <v>15621</v>
      </c>
      <c r="K91" s="35"/>
      <c r="L91" s="34" t="s">
        <v>15111</v>
      </c>
      <c r="M91" s="35" t="s">
        <v>9</v>
      </c>
      <c r="N91" s="34" t="s">
        <v>15622</v>
      </c>
      <c r="O91" s="35" t="s">
        <v>164</v>
      </c>
      <c r="P91" s="35" t="s">
        <v>2271</v>
      </c>
    </row>
    <row r="92" spans="1:16" ht="409.6" x14ac:dyDescent="0.25">
      <c r="A92" s="35">
        <v>90</v>
      </c>
      <c r="B92" s="34" t="s">
        <v>15623</v>
      </c>
      <c r="C92" s="35"/>
      <c r="D92" s="34" t="s">
        <v>15624</v>
      </c>
      <c r="E92" s="34" t="s">
        <v>15625</v>
      </c>
      <c r="F92" s="34" t="s">
        <v>8707</v>
      </c>
      <c r="G92" s="34" t="s">
        <v>10289</v>
      </c>
      <c r="H92" s="34" t="s">
        <v>15626</v>
      </c>
      <c r="I92" s="35">
        <v>1</v>
      </c>
      <c r="J92" s="34" t="s">
        <v>15627</v>
      </c>
      <c r="K92" s="35"/>
      <c r="L92" s="34" t="s">
        <v>15111</v>
      </c>
      <c r="M92" s="35" t="s">
        <v>9</v>
      </c>
      <c r="N92" s="34" t="s">
        <v>15628</v>
      </c>
      <c r="O92" s="35" t="s">
        <v>164</v>
      </c>
      <c r="P92" s="35" t="s">
        <v>2271</v>
      </c>
    </row>
    <row r="93" spans="1:16" ht="409.6" x14ac:dyDescent="0.25">
      <c r="A93" s="35">
        <v>91</v>
      </c>
      <c r="B93" s="34" t="s">
        <v>15629</v>
      </c>
      <c r="C93" s="35"/>
      <c r="D93" s="34" t="s">
        <v>15630</v>
      </c>
      <c r="E93" s="34" t="s">
        <v>15631</v>
      </c>
      <c r="F93" s="34" t="s">
        <v>15632</v>
      </c>
      <c r="G93" s="34" t="s">
        <v>15633</v>
      </c>
      <c r="H93" s="34" t="s">
        <v>15634</v>
      </c>
      <c r="I93" s="35">
        <v>1</v>
      </c>
      <c r="J93" s="34" t="s">
        <v>15635</v>
      </c>
      <c r="K93" s="35"/>
      <c r="L93" s="34" t="s">
        <v>15111</v>
      </c>
      <c r="M93" s="35" t="s">
        <v>9</v>
      </c>
      <c r="N93" s="34" t="s">
        <v>15636</v>
      </c>
      <c r="O93" s="35" t="s">
        <v>164</v>
      </c>
      <c r="P93" s="35" t="s">
        <v>2271</v>
      </c>
    </row>
    <row r="94" spans="1:16" ht="409.6" x14ac:dyDescent="0.25">
      <c r="A94" s="35">
        <v>92</v>
      </c>
      <c r="B94" s="34" t="s">
        <v>15637</v>
      </c>
      <c r="C94" s="35"/>
      <c r="D94" s="34" t="s">
        <v>15638</v>
      </c>
      <c r="E94" s="34" t="s">
        <v>15639</v>
      </c>
      <c r="F94" s="34" t="s">
        <v>15640</v>
      </c>
      <c r="G94" s="34" t="s">
        <v>15641</v>
      </c>
      <c r="H94" s="34" t="s">
        <v>15642</v>
      </c>
      <c r="I94" s="35">
        <v>1</v>
      </c>
      <c r="J94" s="34" t="s">
        <v>15643</v>
      </c>
      <c r="K94" s="35"/>
      <c r="L94" s="34" t="s">
        <v>15164</v>
      </c>
      <c r="M94" s="35" t="s">
        <v>9</v>
      </c>
      <c r="N94" s="34" t="s">
        <v>15644</v>
      </c>
      <c r="O94" s="35" t="s">
        <v>164</v>
      </c>
      <c r="P94" s="35" t="s">
        <v>2271</v>
      </c>
    </row>
    <row r="95" spans="1:16" ht="409.6" x14ac:dyDescent="0.25">
      <c r="A95" s="35">
        <v>93</v>
      </c>
      <c r="B95" s="34" t="s">
        <v>15645</v>
      </c>
      <c r="C95" s="35"/>
      <c r="D95" s="34" t="s">
        <v>15646</v>
      </c>
      <c r="E95" s="34" t="s">
        <v>15647</v>
      </c>
      <c r="F95" s="34" t="s">
        <v>15648</v>
      </c>
      <c r="G95" s="34" t="s">
        <v>15649</v>
      </c>
      <c r="H95" s="34" t="s">
        <v>15650</v>
      </c>
      <c r="I95" s="35">
        <v>1</v>
      </c>
      <c r="J95" s="34" t="s">
        <v>15651</v>
      </c>
      <c r="K95" s="35"/>
      <c r="L95" s="34" t="s">
        <v>15111</v>
      </c>
      <c r="M95" s="35" t="s">
        <v>9</v>
      </c>
      <c r="N95" s="34" t="s">
        <v>15652</v>
      </c>
      <c r="O95" s="35" t="s">
        <v>164</v>
      </c>
      <c r="P95" s="35" t="s">
        <v>2271</v>
      </c>
    </row>
    <row r="96" spans="1:16" ht="409.6" x14ac:dyDescent="0.25">
      <c r="A96" s="35">
        <v>94</v>
      </c>
      <c r="B96" s="34" t="s">
        <v>15653</v>
      </c>
      <c r="C96" s="35"/>
      <c r="D96" s="34" t="s">
        <v>15654</v>
      </c>
      <c r="E96" s="34" t="s">
        <v>15655</v>
      </c>
      <c r="F96" s="34" t="s">
        <v>15295</v>
      </c>
      <c r="G96" s="34" t="s">
        <v>15656</v>
      </c>
      <c r="H96" s="34" t="s">
        <v>15657</v>
      </c>
      <c r="I96" s="35">
        <v>1</v>
      </c>
      <c r="J96" s="34" t="s">
        <v>15658</v>
      </c>
      <c r="K96" s="35"/>
      <c r="L96" s="34" t="s">
        <v>15111</v>
      </c>
      <c r="M96" s="35" t="s">
        <v>9</v>
      </c>
      <c r="N96" s="34" t="s">
        <v>15659</v>
      </c>
      <c r="O96" s="35" t="s">
        <v>164</v>
      </c>
      <c r="P96" s="35" t="s">
        <v>2271</v>
      </c>
    </row>
    <row r="97" spans="1:16" ht="409.6" x14ac:dyDescent="0.25">
      <c r="A97" s="35">
        <v>95</v>
      </c>
      <c r="B97" s="34" t="s">
        <v>15660</v>
      </c>
      <c r="C97" s="35"/>
      <c r="D97" s="34" t="s">
        <v>15661</v>
      </c>
      <c r="E97" s="34" t="s">
        <v>15662</v>
      </c>
      <c r="F97" s="34" t="s">
        <v>15663</v>
      </c>
      <c r="G97" s="34" t="s">
        <v>15664</v>
      </c>
      <c r="H97" s="34" t="s">
        <v>15665</v>
      </c>
      <c r="I97" s="35">
        <v>1</v>
      </c>
      <c r="J97" s="34" t="s">
        <v>15666</v>
      </c>
      <c r="K97" s="35"/>
      <c r="L97" s="34" t="s">
        <v>15111</v>
      </c>
      <c r="M97" s="35" t="s">
        <v>9</v>
      </c>
      <c r="N97" s="34" t="s">
        <v>15667</v>
      </c>
      <c r="O97" s="35" t="s">
        <v>164</v>
      </c>
      <c r="P97" s="35" t="s">
        <v>2271</v>
      </c>
    </row>
    <row r="98" spans="1:16" ht="409.6" x14ac:dyDescent="0.25">
      <c r="A98" s="35">
        <v>96</v>
      </c>
      <c r="B98" s="34" t="s">
        <v>15668</v>
      </c>
      <c r="C98" s="35"/>
      <c r="D98" s="34" t="s">
        <v>15669</v>
      </c>
      <c r="E98" s="34" t="s">
        <v>15670</v>
      </c>
      <c r="F98" s="34" t="s">
        <v>15671</v>
      </c>
      <c r="G98" s="34" t="s">
        <v>15672</v>
      </c>
      <c r="H98" s="34" t="s">
        <v>15673</v>
      </c>
      <c r="I98" s="35">
        <v>1</v>
      </c>
      <c r="J98" s="34" t="s">
        <v>15674</v>
      </c>
      <c r="K98" s="35"/>
      <c r="L98" s="34" t="s">
        <v>15111</v>
      </c>
      <c r="M98" s="35" t="s">
        <v>9</v>
      </c>
      <c r="N98" s="34" t="s">
        <v>15675</v>
      </c>
      <c r="O98" s="35" t="s">
        <v>164</v>
      </c>
      <c r="P98" s="35" t="s">
        <v>2271</v>
      </c>
    </row>
    <row r="99" spans="1:16" ht="409.6" x14ac:dyDescent="0.25">
      <c r="A99" s="35">
        <v>97</v>
      </c>
      <c r="B99" s="34" t="s">
        <v>15676</v>
      </c>
      <c r="C99" s="35"/>
      <c r="D99" s="34" t="s">
        <v>15677</v>
      </c>
      <c r="E99" s="34" t="s">
        <v>15678</v>
      </c>
      <c r="F99" s="34" t="s">
        <v>15679</v>
      </c>
      <c r="G99" s="34" t="s">
        <v>15680</v>
      </c>
      <c r="H99" s="34" t="s">
        <v>15681</v>
      </c>
      <c r="I99" s="35">
        <v>1</v>
      </c>
      <c r="J99" s="34" t="s">
        <v>15682</v>
      </c>
      <c r="K99" s="35"/>
      <c r="L99" s="34" t="s">
        <v>15111</v>
      </c>
      <c r="M99" s="35" t="s">
        <v>9</v>
      </c>
      <c r="N99" s="34" t="s">
        <v>15683</v>
      </c>
      <c r="O99" s="35" t="s">
        <v>164</v>
      </c>
      <c r="P99" s="35" t="s">
        <v>2271</v>
      </c>
    </row>
    <row r="100" spans="1:16" ht="409.6" x14ac:dyDescent="0.25">
      <c r="A100" s="35">
        <v>98</v>
      </c>
      <c r="B100" s="34" t="s">
        <v>15684</v>
      </c>
      <c r="C100" s="35"/>
      <c r="D100" s="34" t="s">
        <v>15685</v>
      </c>
      <c r="E100" s="34" t="s">
        <v>15686</v>
      </c>
      <c r="F100" s="34" t="s">
        <v>15687</v>
      </c>
      <c r="G100" s="34" t="s">
        <v>15688</v>
      </c>
      <c r="H100" s="34" t="s">
        <v>15689</v>
      </c>
      <c r="I100" s="35">
        <v>1</v>
      </c>
      <c r="J100" s="34" t="s">
        <v>15690</v>
      </c>
      <c r="K100" s="35"/>
      <c r="L100" s="34" t="s">
        <v>15111</v>
      </c>
      <c r="M100" s="35" t="s">
        <v>9</v>
      </c>
      <c r="N100" s="34" t="s">
        <v>15691</v>
      </c>
      <c r="O100" s="35" t="s">
        <v>164</v>
      </c>
      <c r="P100" s="35" t="s">
        <v>2271</v>
      </c>
    </row>
    <row r="101" spans="1:16" ht="409.6" x14ac:dyDescent="0.25">
      <c r="A101" s="35">
        <v>99</v>
      </c>
      <c r="B101" s="34" t="s">
        <v>15692</v>
      </c>
      <c r="C101" s="35"/>
      <c r="D101" s="34" t="s">
        <v>15693</v>
      </c>
      <c r="E101" s="34" t="s">
        <v>15694</v>
      </c>
      <c r="F101" s="34" t="s">
        <v>15695</v>
      </c>
      <c r="G101" s="34" t="s">
        <v>15696</v>
      </c>
      <c r="H101" s="34" t="s">
        <v>15697</v>
      </c>
      <c r="I101" s="35">
        <v>1</v>
      </c>
      <c r="J101" s="34" t="s">
        <v>15698</v>
      </c>
      <c r="K101" s="35"/>
      <c r="L101" s="34" t="s">
        <v>15164</v>
      </c>
      <c r="M101" s="35" t="s">
        <v>9</v>
      </c>
      <c r="N101" s="34" t="s">
        <v>15699</v>
      </c>
      <c r="O101" s="35" t="s">
        <v>164</v>
      </c>
      <c r="P101" s="35" t="s">
        <v>2271</v>
      </c>
    </row>
    <row r="102" spans="1:16" ht="409.6" x14ac:dyDescent="0.25">
      <c r="A102" s="35">
        <v>100</v>
      </c>
      <c r="B102" s="34" t="s">
        <v>15700</v>
      </c>
      <c r="C102" s="35"/>
      <c r="D102" s="34" t="s">
        <v>15701</v>
      </c>
      <c r="E102" s="34" t="s">
        <v>15702</v>
      </c>
      <c r="F102" s="34" t="s">
        <v>15703</v>
      </c>
      <c r="G102" s="34" t="s">
        <v>15704</v>
      </c>
      <c r="H102" s="34" t="s">
        <v>15705</v>
      </c>
      <c r="I102" s="35">
        <v>1</v>
      </c>
      <c r="J102" s="34" t="s">
        <v>15706</v>
      </c>
      <c r="K102" s="35"/>
      <c r="L102" s="34" t="s">
        <v>15111</v>
      </c>
      <c r="M102" s="35" t="s">
        <v>9</v>
      </c>
      <c r="N102" s="34" t="s">
        <v>15707</v>
      </c>
      <c r="O102" s="35" t="s">
        <v>164</v>
      </c>
      <c r="P102" s="35" t="s">
        <v>2271</v>
      </c>
    </row>
    <row r="103" spans="1:16" ht="409.6" x14ac:dyDescent="0.25">
      <c r="A103" s="35">
        <v>101</v>
      </c>
      <c r="B103" s="34" t="s">
        <v>15708</v>
      </c>
      <c r="C103" s="35"/>
      <c r="D103" s="34" t="s">
        <v>14794</v>
      </c>
      <c r="E103" s="34" t="s">
        <v>14795</v>
      </c>
      <c r="F103" s="34" t="s">
        <v>15310</v>
      </c>
      <c r="G103" s="34" t="s">
        <v>15311</v>
      </c>
      <c r="H103" s="34" t="s">
        <v>15709</v>
      </c>
      <c r="I103" s="35">
        <v>1</v>
      </c>
      <c r="J103" s="34" t="s">
        <v>15710</v>
      </c>
      <c r="K103" s="35"/>
      <c r="L103" s="34" t="s">
        <v>15111</v>
      </c>
      <c r="M103" s="35" t="s">
        <v>9</v>
      </c>
      <c r="N103" s="34" t="s">
        <v>15711</v>
      </c>
      <c r="O103" s="35" t="s">
        <v>164</v>
      </c>
      <c r="P103" s="35" t="s">
        <v>2271</v>
      </c>
    </row>
    <row r="104" spans="1:16" ht="409.6" x14ac:dyDescent="0.25">
      <c r="A104" s="35">
        <v>102</v>
      </c>
      <c r="B104" s="34" t="s">
        <v>15712</v>
      </c>
      <c r="C104" s="35"/>
      <c r="D104" s="34" t="s">
        <v>15713</v>
      </c>
      <c r="E104" s="34" t="s">
        <v>15714</v>
      </c>
      <c r="F104" s="34" t="s">
        <v>15715</v>
      </c>
      <c r="G104" s="34" t="s">
        <v>15716</v>
      </c>
      <c r="H104" s="34" t="s">
        <v>15717</v>
      </c>
      <c r="I104" s="35">
        <v>1</v>
      </c>
      <c r="J104" s="34" t="s">
        <v>15718</v>
      </c>
      <c r="K104" s="35"/>
      <c r="L104" s="34" t="s">
        <v>15111</v>
      </c>
      <c r="M104" s="35" t="s">
        <v>9</v>
      </c>
      <c r="N104" s="34" t="s">
        <v>15719</v>
      </c>
      <c r="O104" s="35" t="s">
        <v>164</v>
      </c>
      <c r="P104" s="35" t="s">
        <v>2271</v>
      </c>
    </row>
    <row r="105" spans="1:16" ht="409.6" x14ac:dyDescent="0.25">
      <c r="A105" s="35">
        <v>103</v>
      </c>
      <c r="B105" s="34" t="s">
        <v>15720</v>
      </c>
      <c r="C105" s="35"/>
      <c r="D105" s="34" t="s">
        <v>15721</v>
      </c>
      <c r="E105" s="34" t="s">
        <v>15722</v>
      </c>
      <c r="F105" s="34" t="s">
        <v>15723</v>
      </c>
      <c r="G105" s="34" t="s">
        <v>15724</v>
      </c>
      <c r="H105" s="34" t="s">
        <v>15725</v>
      </c>
      <c r="I105" s="35">
        <v>1</v>
      </c>
      <c r="J105" s="34" t="s">
        <v>15726</v>
      </c>
      <c r="K105" s="35"/>
      <c r="L105" s="34" t="s">
        <v>15164</v>
      </c>
      <c r="M105" s="35" t="s">
        <v>9</v>
      </c>
      <c r="N105" s="34" t="s">
        <v>15727</v>
      </c>
      <c r="O105" s="35" t="s">
        <v>164</v>
      </c>
      <c r="P105" s="35" t="s">
        <v>2271</v>
      </c>
    </row>
    <row r="106" spans="1:16" ht="409.6" x14ac:dyDescent="0.25">
      <c r="A106" s="35">
        <v>104</v>
      </c>
      <c r="B106" s="34" t="s">
        <v>15728</v>
      </c>
      <c r="C106" s="35"/>
      <c r="D106" s="34" t="s">
        <v>15729</v>
      </c>
      <c r="E106" s="34" t="s">
        <v>15730</v>
      </c>
      <c r="F106" s="34" t="s">
        <v>15731</v>
      </c>
      <c r="G106" s="34" t="s">
        <v>15732</v>
      </c>
      <c r="H106" s="34" t="s">
        <v>15733</v>
      </c>
      <c r="I106" s="35">
        <v>1</v>
      </c>
      <c r="J106" s="34" t="s">
        <v>15734</v>
      </c>
      <c r="K106" s="35"/>
      <c r="L106" s="34" t="s">
        <v>15111</v>
      </c>
      <c r="M106" s="35" t="s">
        <v>9</v>
      </c>
      <c r="N106" s="34" t="s">
        <v>15735</v>
      </c>
      <c r="O106" s="35" t="s">
        <v>164</v>
      </c>
      <c r="P106" s="35" t="s">
        <v>2271</v>
      </c>
    </row>
    <row r="107" spans="1:16" ht="409.6" x14ac:dyDescent="0.25">
      <c r="A107" s="35">
        <v>105</v>
      </c>
      <c r="B107" s="34" t="s">
        <v>15736</v>
      </c>
      <c r="C107" s="35"/>
      <c r="D107" s="34" t="s">
        <v>15737</v>
      </c>
      <c r="E107" s="34" t="s">
        <v>15738</v>
      </c>
      <c r="F107" s="34" t="s">
        <v>15739</v>
      </c>
      <c r="G107" s="34" t="s">
        <v>15740</v>
      </c>
      <c r="H107" s="34" t="s">
        <v>15741</v>
      </c>
      <c r="I107" s="35">
        <v>1</v>
      </c>
      <c r="J107" s="34" t="s">
        <v>15742</v>
      </c>
      <c r="K107" s="35"/>
      <c r="L107" s="34" t="s">
        <v>15111</v>
      </c>
      <c r="M107" s="35" t="s">
        <v>9</v>
      </c>
      <c r="N107" s="34" t="s">
        <v>15743</v>
      </c>
      <c r="O107" s="35" t="s">
        <v>164</v>
      </c>
      <c r="P107" s="35" t="s">
        <v>2271</v>
      </c>
    </row>
    <row r="108" spans="1:16" ht="409.6" x14ac:dyDescent="0.25">
      <c r="A108" s="35">
        <v>106</v>
      </c>
      <c r="B108" s="34" t="s">
        <v>15744</v>
      </c>
      <c r="C108" s="35"/>
      <c r="D108" s="34" t="s">
        <v>15745</v>
      </c>
      <c r="E108" s="34" t="s">
        <v>15746</v>
      </c>
      <c r="F108" s="34" t="s">
        <v>15747</v>
      </c>
      <c r="G108" s="34" t="s">
        <v>15748</v>
      </c>
      <c r="H108" s="34" t="s">
        <v>15749</v>
      </c>
      <c r="I108" s="35">
        <v>1</v>
      </c>
      <c r="J108" s="34" t="s">
        <v>15750</v>
      </c>
      <c r="K108" s="35"/>
      <c r="L108" s="34" t="s">
        <v>15111</v>
      </c>
      <c r="M108" s="35" t="s">
        <v>9</v>
      </c>
      <c r="N108" s="34" t="s">
        <v>15751</v>
      </c>
      <c r="O108" s="35" t="s">
        <v>164</v>
      </c>
      <c r="P108" s="35" t="s">
        <v>2271</v>
      </c>
    </row>
    <row r="109" spans="1:16" ht="409.6" x14ac:dyDescent="0.25">
      <c r="A109" s="35">
        <v>107</v>
      </c>
      <c r="B109" s="34" t="s">
        <v>15752</v>
      </c>
      <c r="C109" s="35"/>
      <c r="D109" s="34" t="s">
        <v>15753</v>
      </c>
      <c r="E109" s="34" t="s">
        <v>15754</v>
      </c>
      <c r="F109" s="34" t="s">
        <v>8706</v>
      </c>
      <c r="G109" s="34" t="s">
        <v>14071</v>
      </c>
      <c r="H109" s="34" t="s">
        <v>15755</v>
      </c>
      <c r="I109" s="35">
        <v>1</v>
      </c>
      <c r="J109" s="34" t="s">
        <v>15756</v>
      </c>
      <c r="K109" s="35"/>
      <c r="L109" s="34" t="s">
        <v>15164</v>
      </c>
      <c r="M109" s="35" t="s">
        <v>9</v>
      </c>
      <c r="N109" s="34" t="s">
        <v>15757</v>
      </c>
      <c r="O109" s="35" t="s">
        <v>164</v>
      </c>
      <c r="P109" s="35" t="s">
        <v>2271</v>
      </c>
    </row>
    <row r="110" spans="1:16" ht="409.6" x14ac:dyDescent="0.25">
      <c r="A110" s="35">
        <v>108</v>
      </c>
      <c r="B110" s="34" t="s">
        <v>15758</v>
      </c>
      <c r="C110" s="35"/>
      <c r="D110" s="34" t="s">
        <v>15759</v>
      </c>
      <c r="E110" s="34" t="s">
        <v>15760</v>
      </c>
      <c r="F110" s="34" t="s">
        <v>15761</v>
      </c>
      <c r="G110" s="34" t="s">
        <v>15762</v>
      </c>
      <c r="H110" s="34" t="s">
        <v>15763</v>
      </c>
      <c r="I110" s="35">
        <v>1</v>
      </c>
      <c r="J110" s="34" t="s">
        <v>15764</v>
      </c>
      <c r="K110" s="35"/>
      <c r="L110" s="34" t="s">
        <v>15111</v>
      </c>
      <c r="M110" s="35" t="s">
        <v>9</v>
      </c>
      <c r="N110" s="34" t="s">
        <v>15765</v>
      </c>
      <c r="O110" s="35" t="s">
        <v>164</v>
      </c>
      <c r="P110" s="35" t="s">
        <v>2436</v>
      </c>
    </row>
    <row r="111" spans="1:16" ht="409.6" x14ac:dyDescent="0.25">
      <c r="A111" s="35">
        <v>109</v>
      </c>
      <c r="B111" s="34" t="s">
        <v>15766</v>
      </c>
      <c r="C111" s="35"/>
      <c r="D111" s="34" t="s">
        <v>14794</v>
      </c>
      <c r="E111" s="34" t="s">
        <v>14795</v>
      </c>
      <c r="F111" s="34" t="s">
        <v>15310</v>
      </c>
      <c r="G111" s="34" t="s">
        <v>15311</v>
      </c>
      <c r="H111" s="34" t="s">
        <v>15596</v>
      </c>
      <c r="I111" s="35">
        <v>1</v>
      </c>
      <c r="J111" s="34" t="s">
        <v>15767</v>
      </c>
      <c r="K111" s="35"/>
      <c r="L111" s="34" t="s">
        <v>15164</v>
      </c>
      <c r="M111" s="35" t="s">
        <v>9</v>
      </c>
      <c r="N111" s="34" t="s">
        <v>15768</v>
      </c>
      <c r="O111" s="35" t="s">
        <v>164</v>
      </c>
      <c r="P111" s="35" t="s">
        <v>2436</v>
      </c>
    </row>
    <row r="112" spans="1:16" ht="409.6" x14ac:dyDescent="0.25">
      <c r="A112" s="35">
        <v>110</v>
      </c>
      <c r="B112" s="34" t="s">
        <v>15769</v>
      </c>
      <c r="C112" s="35"/>
      <c r="D112" s="34" t="s">
        <v>14817</v>
      </c>
      <c r="E112" s="34" t="s">
        <v>14818</v>
      </c>
      <c r="F112" s="34" t="s">
        <v>15770</v>
      </c>
      <c r="G112" s="34"/>
      <c r="H112" s="34"/>
      <c r="I112" s="35">
        <v>1</v>
      </c>
      <c r="J112" s="34" t="s">
        <v>15771</v>
      </c>
      <c r="K112" s="35"/>
      <c r="L112" s="34" t="s">
        <v>15111</v>
      </c>
      <c r="M112" s="35" t="s">
        <v>9</v>
      </c>
      <c r="N112" s="34" t="s">
        <v>15001</v>
      </c>
      <c r="O112" s="35" t="s">
        <v>164</v>
      </c>
      <c r="P112" s="35" t="s">
        <v>2436</v>
      </c>
    </row>
    <row r="113" spans="1:16" ht="409.6" x14ac:dyDescent="0.25">
      <c r="A113" s="35">
        <v>111</v>
      </c>
      <c r="B113" s="34" t="s">
        <v>15772</v>
      </c>
      <c r="C113" s="35"/>
      <c r="D113" s="34" t="s">
        <v>15773</v>
      </c>
      <c r="E113" s="34" t="s">
        <v>15774</v>
      </c>
      <c r="F113" s="34" t="s">
        <v>15775</v>
      </c>
      <c r="G113" s="34"/>
      <c r="H113" s="34"/>
      <c r="I113" s="35">
        <v>1</v>
      </c>
      <c r="J113" s="34" t="s">
        <v>15776</v>
      </c>
      <c r="K113" s="35"/>
      <c r="L113" s="34" t="s">
        <v>15111</v>
      </c>
      <c r="M113" s="35" t="s">
        <v>9</v>
      </c>
      <c r="N113" s="34" t="s">
        <v>15777</v>
      </c>
      <c r="O113" s="35" t="s">
        <v>164</v>
      </c>
      <c r="P113" s="35" t="s">
        <v>2436</v>
      </c>
    </row>
    <row r="114" spans="1:16" ht="409.6" x14ac:dyDescent="0.25">
      <c r="A114" s="35">
        <v>112</v>
      </c>
      <c r="B114" s="34" t="s">
        <v>14978</v>
      </c>
      <c r="C114" s="35"/>
      <c r="D114" s="34" t="s">
        <v>14979</v>
      </c>
      <c r="E114" s="34" t="s">
        <v>14980</v>
      </c>
      <c r="F114" s="34"/>
      <c r="G114" s="34"/>
      <c r="H114" s="34"/>
      <c r="I114" s="35">
        <v>1</v>
      </c>
      <c r="J114" s="34" t="s">
        <v>15778</v>
      </c>
      <c r="K114" s="35"/>
      <c r="L114" s="34" t="s">
        <v>15111</v>
      </c>
      <c r="M114" s="35" t="s">
        <v>9</v>
      </c>
      <c r="N114" s="34" t="s">
        <v>15779</v>
      </c>
      <c r="O114" s="35" t="s">
        <v>164</v>
      </c>
      <c r="P114" s="35" t="s">
        <v>2436</v>
      </c>
    </row>
    <row r="115" spans="1:16" ht="409.6" x14ac:dyDescent="0.25">
      <c r="A115" s="35">
        <v>113</v>
      </c>
      <c r="B115" s="34" t="s">
        <v>15780</v>
      </c>
      <c r="C115" s="35"/>
      <c r="D115" s="34" t="s">
        <v>15759</v>
      </c>
      <c r="E115" s="34" t="s">
        <v>15347</v>
      </c>
      <c r="F115" s="34" t="s">
        <v>15781</v>
      </c>
      <c r="G115" s="34" t="s">
        <v>15782</v>
      </c>
      <c r="H115" s="34" t="s">
        <v>15783</v>
      </c>
      <c r="I115" s="35">
        <v>1</v>
      </c>
      <c r="J115" s="34" t="s">
        <v>15784</v>
      </c>
      <c r="K115" s="35"/>
      <c r="L115" s="34" t="s">
        <v>15111</v>
      </c>
      <c r="M115" s="35" t="s">
        <v>9</v>
      </c>
      <c r="N115" s="34" t="s">
        <v>14961</v>
      </c>
      <c r="O115" s="35" t="s">
        <v>164</v>
      </c>
      <c r="P115" s="35" t="s">
        <v>2436</v>
      </c>
    </row>
    <row r="116" spans="1:16" ht="409.6" x14ac:dyDescent="0.25">
      <c r="A116" s="35">
        <v>114</v>
      </c>
      <c r="B116" s="34" t="s">
        <v>15785</v>
      </c>
      <c r="C116" s="35"/>
      <c r="D116" s="34" t="s">
        <v>15786</v>
      </c>
      <c r="E116" s="34" t="s">
        <v>15787</v>
      </c>
      <c r="F116" s="34" t="s">
        <v>15788</v>
      </c>
      <c r="G116" s="34" t="s">
        <v>15789</v>
      </c>
      <c r="H116" s="34" t="s">
        <v>15790</v>
      </c>
      <c r="I116" s="35">
        <v>1</v>
      </c>
      <c r="J116" s="34" t="s">
        <v>15791</v>
      </c>
      <c r="K116" s="35"/>
      <c r="L116" s="34" t="s">
        <v>15111</v>
      </c>
      <c r="M116" s="35" t="s">
        <v>9</v>
      </c>
      <c r="N116" s="34" t="s">
        <v>15765</v>
      </c>
      <c r="O116" s="35" t="s">
        <v>164</v>
      </c>
      <c r="P116" s="35" t="s">
        <v>2436</v>
      </c>
    </row>
    <row r="117" spans="1:16" ht="409.6" x14ac:dyDescent="0.25">
      <c r="A117" s="35">
        <v>115</v>
      </c>
      <c r="B117" s="34" t="s">
        <v>15792</v>
      </c>
      <c r="C117" s="35"/>
      <c r="D117" s="34" t="s">
        <v>12770</v>
      </c>
      <c r="E117" s="34" t="s">
        <v>15793</v>
      </c>
      <c r="F117" s="34" t="s">
        <v>940</v>
      </c>
      <c r="G117" s="34" t="s">
        <v>12772</v>
      </c>
      <c r="H117" s="34" t="s">
        <v>15794</v>
      </c>
      <c r="I117" s="35">
        <v>1</v>
      </c>
      <c r="J117" s="34" t="s">
        <v>15795</v>
      </c>
      <c r="K117" s="35"/>
      <c r="L117" s="34" t="s">
        <v>15111</v>
      </c>
      <c r="M117" s="35" t="s">
        <v>9</v>
      </c>
      <c r="N117" s="34" t="s">
        <v>15796</v>
      </c>
      <c r="O117" s="35" t="s">
        <v>164</v>
      </c>
      <c r="P117" s="35" t="s">
        <v>2436</v>
      </c>
    </row>
    <row r="118" spans="1:16" ht="409.6" x14ac:dyDescent="0.25">
      <c r="A118" s="35">
        <v>116</v>
      </c>
      <c r="B118" s="34" t="s">
        <v>15797</v>
      </c>
      <c r="C118" s="35"/>
      <c r="D118" s="34" t="s">
        <v>15798</v>
      </c>
      <c r="E118" s="34" t="s">
        <v>15799</v>
      </c>
      <c r="F118" s="34" t="s">
        <v>15800</v>
      </c>
      <c r="G118" s="34" t="s">
        <v>15801</v>
      </c>
      <c r="H118" s="34"/>
      <c r="I118" s="35">
        <v>1</v>
      </c>
      <c r="J118" s="34" t="s">
        <v>15802</v>
      </c>
      <c r="K118" s="35"/>
      <c r="L118" s="34" t="s">
        <v>15111</v>
      </c>
      <c r="M118" s="35" t="s">
        <v>9</v>
      </c>
      <c r="N118" s="34" t="s">
        <v>15803</v>
      </c>
      <c r="O118" s="35" t="s">
        <v>164</v>
      </c>
      <c r="P118" s="35" t="s">
        <v>2436</v>
      </c>
    </row>
    <row r="119" spans="1:16" ht="409.6" x14ac:dyDescent="0.25">
      <c r="A119" s="35">
        <v>117</v>
      </c>
      <c r="B119" s="34" t="s">
        <v>15804</v>
      </c>
      <c r="C119" s="35"/>
      <c r="D119" s="34" t="s">
        <v>15805</v>
      </c>
      <c r="E119" s="34" t="s">
        <v>15806</v>
      </c>
      <c r="F119" s="34" t="s">
        <v>15807</v>
      </c>
      <c r="G119" s="34" t="s">
        <v>15808</v>
      </c>
      <c r="H119" s="34" t="s">
        <v>15809</v>
      </c>
      <c r="I119" s="35">
        <v>1</v>
      </c>
      <c r="J119" s="34" t="s">
        <v>15810</v>
      </c>
      <c r="K119" s="35"/>
      <c r="L119" s="34" t="s">
        <v>15111</v>
      </c>
      <c r="M119" s="35" t="s">
        <v>9</v>
      </c>
      <c r="N119" s="34" t="s">
        <v>14985</v>
      </c>
      <c r="O119" s="35" t="s">
        <v>164</v>
      </c>
      <c r="P119" s="35" t="s">
        <v>2436</v>
      </c>
    </row>
    <row r="120" spans="1:16" ht="409.6" x14ac:dyDescent="0.25">
      <c r="A120" s="35">
        <v>118</v>
      </c>
      <c r="B120" s="34" t="s">
        <v>15811</v>
      </c>
      <c r="C120" s="35"/>
      <c r="D120" s="34" t="s">
        <v>2983</v>
      </c>
      <c r="E120" s="34" t="s">
        <v>1458</v>
      </c>
      <c r="F120" s="34" t="s">
        <v>14987</v>
      </c>
      <c r="G120" s="34" t="s">
        <v>14988</v>
      </c>
      <c r="H120" s="34" t="s">
        <v>14989</v>
      </c>
      <c r="I120" s="35">
        <v>1</v>
      </c>
      <c r="J120" s="34" t="s">
        <v>15812</v>
      </c>
      <c r="K120" s="35"/>
      <c r="L120" s="34" t="s">
        <v>15111</v>
      </c>
      <c r="M120" s="35" t="s">
        <v>9</v>
      </c>
      <c r="N120" s="34" t="s">
        <v>15813</v>
      </c>
      <c r="O120" s="35" t="s">
        <v>164</v>
      </c>
      <c r="P120" s="35" t="s">
        <v>2514</v>
      </c>
    </row>
    <row r="121" spans="1:16" ht="409.6" x14ac:dyDescent="0.25">
      <c r="A121" s="35">
        <v>119</v>
      </c>
      <c r="B121" s="34" t="s">
        <v>15814</v>
      </c>
      <c r="C121" s="35"/>
      <c r="D121" s="34" t="s">
        <v>15815</v>
      </c>
      <c r="E121" s="34" t="s">
        <v>15816</v>
      </c>
      <c r="F121" s="34" t="s">
        <v>15817</v>
      </c>
      <c r="G121" s="34" t="s">
        <v>15818</v>
      </c>
      <c r="H121" s="34" t="s">
        <v>15819</v>
      </c>
      <c r="I121" s="35">
        <v>1</v>
      </c>
      <c r="J121" s="34" t="s">
        <v>15820</v>
      </c>
      <c r="K121" s="35"/>
      <c r="L121" s="34" t="s">
        <v>15111</v>
      </c>
      <c r="M121" s="35" t="s">
        <v>9</v>
      </c>
      <c r="N121" s="34" t="s">
        <v>15821</v>
      </c>
      <c r="O121" s="35" t="s">
        <v>164</v>
      </c>
      <c r="P121" s="35" t="s">
        <v>2514</v>
      </c>
    </row>
    <row r="122" spans="1:16" ht="409.6" x14ac:dyDescent="0.25">
      <c r="A122" s="35">
        <v>120</v>
      </c>
      <c r="B122" s="34" t="s">
        <v>15822</v>
      </c>
      <c r="C122" s="35"/>
      <c r="D122" s="34" t="s">
        <v>15823</v>
      </c>
      <c r="E122" s="34" t="s">
        <v>15824</v>
      </c>
      <c r="F122" s="34" t="s">
        <v>15825</v>
      </c>
      <c r="G122" s="34" t="s">
        <v>15826</v>
      </c>
      <c r="H122" s="34" t="s">
        <v>15827</v>
      </c>
      <c r="I122" s="35">
        <v>1</v>
      </c>
      <c r="J122" s="34" t="s">
        <v>15828</v>
      </c>
      <c r="K122" s="35"/>
      <c r="L122" s="34" t="s">
        <v>15164</v>
      </c>
      <c r="M122" s="35" t="s">
        <v>9</v>
      </c>
      <c r="N122" s="34" t="s">
        <v>15829</v>
      </c>
      <c r="O122" s="35" t="s">
        <v>164</v>
      </c>
      <c r="P122" s="35" t="s">
        <v>2514</v>
      </c>
    </row>
    <row r="123" spans="1:16" ht="409.6" x14ac:dyDescent="0.25">
      <c r="A123" s="35">
        <v>121</v>
      </c>
      <c r="B123" s="34" t="s">
        <v>15830</v>
      </c>
      <c r="C123" s="35"/>
      <c r="D123" s="34" t="s">
        <v>11941</v>
      </c>
      <c r="E123" s="34" t="s">
        <v>11942</v>
      </c>
      <c r="F123" s="34" t="s">
        <v>11943</v>
      </c>
      <c r="G123" s="34" t="s">
        <v>15831</v>
      </c>
      <c r="H123" s="34" t="s">
        <v>15832</v>
      </c>
      <c r="I123" s="35">
        <v>1</v>
      </c>
      <c r="J123" s="34" t="s">
        <v>15833</v>
      </c>
      <c r="K123" s="35"/>
      <c r="L123" s="34" t="s">
        <v>15111</v>
      </c>
      <c r="M123" s="35" t="s">
        <v>9</v>
      </c>
      <c r="N123" s="34" t="s">
        <v>15834</v>
      </c>
      <c r="O123" s="35" t="s">
        <v>164</v>
      </c>
      <c r="P123" s="35" t="s">
        <v>2514</v>
      </c>
    </row>
    <row r="124" spans="1:16" ht="409.6" x14ac:dyDescent="0.25">
      <c r="A124" s="35">
        <v>122</v>
      </c>
      <c r="B124" s="34" t="s">
        <v>15835</v>
      </c>
      <c r="C124" s="35"/>
      <c r="D124" s="34" t="s">
        <v>15836</v>
      </c>
      <c r="E124" s="34" t="s">
        <v>15837</v>
      </c>
      <c r="F124" s="34" t="s">
        <v>15838</v>
      </c>
      <c r="G124" s="34" t="s">
        <v>15839</v>
      </c>
      <c r="H124" s="34" t="s">
        <v>15840</v>
      </c>
      <c r="I124" s="35">
        <v>1</v>
      </c>
      <c r="J124" s="34" t="s">
        <v>15841</v>
      </c>
      <c r="K124" s="35"/>
      <c r="L124" s="34" t="s">
        <v>15111</v>
      </c>
      <c r="M124" s="35" t="s">
        <v>9</v>
      </c>
      <c r="N124" s="34" t="s">
        <v>15842</v>
      </c>
      <c r="O124" s="35" t="s">
        <v>164</v>
      </c>
      <c r="P124" s="35" t="s">
        <v>2514</v>
      </c>
    </row>
    <row r="125" spans="1:16" ht="409.6" x14ac:dyDescent="0.25">
      <c r="A125" s="35">
        <v>123</v>
      </c>
      <c r="B125" s="34" t="s">
        <v>15843</v>
      </c>
      <c r="C125" s="35" t="s">
        <v>15844</v>
      </c>
      <c r="D125" s="34" t="s">
        <v>15845</v>
      </c>
      <c r="E125" s="34" t="s">
        <v>15846</v>
      </c>
      <c r="F125" s="34" t="s">
        <v>15847</v>
      </c>
      <c r="G125" s="34" t="s">
        <v>15848</v>
      </c>
      <c r="H125" s="34" t="s">
        <v>15849</v>
      </c>
      <c r="I125" s="35">
        <v>1</v>
      </c>
      <c r="J125" s="34" t="s">
        <v>15850</v>
      </c>
      <c r="K125" s="35"/>
      <c r="L125" s="34" t="s">
        <v>15164</v>
      </c>
      <c r="M125" s="35" t="s">
        <v>9</v>
      </c>
      <c r="N125" s="34" t="s">
        <v>15851</v>
      </c>
      <c r="O125" s="35" t="s">
        <v>164</v>
      </c>
      <c r="P125" s="35" t="s">
        <v>2514</v>
      </c>
    </row>
    <row r="126" spans="1:16" ht="13.2" x14ac:dyDescent="0.25">
      <c r="A126">
        <v>124</v>
      </c>
      <c r="B126" t="s">
        <v>15852</v>
      </c>
      <c r="D126" t="s">
        <v>15853</v>
      </c>
      <c r="E126" t="s">
        <v>3764</v>
      </c>
      <c r="F126" t="s">
        <v>15316</v>
      </c>
      <c r="G126" t="s">
        <v>15854</v>
      </c>
      <c r="H126" t="s">
        <v>15855</v>
      </c>
      <c r="I126" t="s">
        <v>84</v>
      </c>
      <c r="J126" t="s">
        <v>15856</v>
      </c>
      <c r="L126" t="s">
        <v>1645</v>
      </c>
      <c r="M126" t="s">
        <v>29</v>
      </c>
      <c r="N126" t="s">
        <v>14290</v>
      </c>
    </row>
  </sheetData>
  <mergeCells count="1">
    <mergeCell ref="A1:F1"/>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P35"/>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26.25" customHeight="1" x14ac:dyDescent="0.25">
      <c r="A1" s="52" t="str">
        <f>HYPERLINK("#gid=0", "🏠 กลับสู่หน้าแรก (Go to Home Page)")</f>
        <v>🏠 กลับสู่หน้าแรก (Go to Home Page)</v>
      </c>
      <c r="B1" s="49"/>
      <c r="C1" s="49"/>
      <c r="D1" s="49"/>
      <c r="E1" s="49"/>
      <c r="F1" s="49"/>
    </row>
    <row r="2" spans="1:16"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6" ht="13.2" customHeight="1" x14ac:dyDescent="0.25">
      <c r="A3" s="2">
        <v>1</v>
      </c>
      <c r="B3" s="2" t="s">
        <v>15857</v>
      </c>
      <c r="C3" s="2"/>
      <c r="D3" s="2" t="s">
        <v>15858</v>
      </c>
      <c r="E3" s="2" t="s">
        <v>15859</v>
      </c>
      <c r="F3" s="2" t="s">
        <v>15860</v>
      </c>
      <c r="G3" s="2" t="s">
        <v>15861</v>
      </c>
      <c r="H3" s="2" t="s">
        <v>15862</v>
      </c>
      <c r="I3" s="8" t="s">
        <v>113</v>
      </c>
      <c r="J3" s="2" t="s">
        <v>15863</v>
      </c>
      <c r="K3" s="2"/>
      <c r="L3" s="2" t="s">
        <v>15864</v>
      </c>
      <c r="M3" s="2" t="s">
        <v>9</v>
      </c>
      <c r="N3" s="2" t="s">
        <v>15865</v>
      </c>
      <c r="O3" s="2" t="s">
        <v>164</v>
      </c>
      <c r="P3" s="2" t="s">
        <v>2711</v>
      </c>
    </row>
    <row r="4" spans="1:16" ht="13.2" customHeight="1" x14ac:dyDescent="0.25">
      <c r="A4" s="2">
        <v>2</v>
      </c>
      <c r="B4" s="2" t="s">
        <v>15866</v>
      </c>
      <c r="C4" s="2"/>
      <c r="D4" s="2" t="s">
        <v>15867</v>
      </c>
      <c r="E4" s="2" t="s">
        <v>15868</v>
      </c>
      <c r="F4" s="2" t="s">
        <v>15869</v>
      </c>
      <c r="G4" s="2" t="s">
        <v>15870</v>
      </c>
      <c r="H4" s="2" t="s">
        <v>15871</v>
      </c>
      <c r="I4" s="8" t="s">
        <v>90</v>
      </c>
      <c r="J4" s="2" t="s">
        <v>15872</v>
      </c>
      <c r="K4" s="2"/>
      <c r="L4" s="2" t="s">
        <v>15873</v>
      </c>
      <c r="M4" s="2" t="s">
        <v>9</v>
      </c>
      <c r="N4" s="2" t="s">
        <v>15874</v>
      </c>
      <c r="O4" s="2" t="s">
        <v>164</v>
      </c>
    </row>
    <row r="5" spans="1:16" ht="13.2" customHeight="1" x14ac:dyDescent="0.25">
      <c r="A5" s="2">
        <v>3</v>
      </c>
      <c r="B5" s="2" t="s">
        <v>15875</v>
      </c>
      <c r="C5" s="2"/>
      <c r="D5" s="2" t="s">
        <v>15876</v>
      </c>
      <c r="E5" s="2" t="s">
        <v>15877</v>
      </c>
      <c r="F5" s="2" t="s">
        <v>15878</v>
      </c>
      <c r="G5" s="2" t="s">
        <v>15879</v>
      </c>
      <c r="H5" s="2" t="s">
        <v>15880</v>
      </c>
      <c r="I5" s="8" t="s">
        <v>123</v>
      </c>
      <c r="J5" s="2" t="s">
        <v>15881</v>
      </c>
      <c r="K5" s="2"/>
      <c r="L5" s="2" t="s">
        <v>15882</v>
      </c>
      <c r="M5" s="2" t="s">
        <v>9</v>
      </c>
      <c r="N5" s="2" t="s">
        <v>15883</v>
      </c>
      <c r="O5" s="2" t="s">
        <v>164</v>
      </c>
    </row>
    <row r="6" spans="1:16" ht="13.2" customHeight="1" x14ac:dyDescent="0.25">
      <c r="A6" s="2">
        <v>4</v>
      </c>
      <c r="B6" s="2" t="s">
        <v>15884</v>
      </c>
      <c r="C6" s="2"/>
      <c r="D6" s="2" t="s">
        <v>15885</v>
      </c>
      <c r="E6" s="2" t="s">
        <v>15886</v>
      </c>
      <c r="F6" s="2" t="s">
        <v>15887</v>
      </c>
      <c r="G6" s="2" t="s">
        <v>15888</v>
      </c>
      <c r="H6" s="2" t="s">
        <v>15889</v>
      </c>
      <c r="I6" s="8" t="s">
        <v>84</v>
      </c>
      <c r="J6" s="2" t="s">
        <v>15890</v>
      </c>
      <c r="K6" s="2"/>
      <c r="L6" s="2" t="s">
        <v>15891</v>
      </c>
      <c r="M6" s="2" t="s">
        <v>9</v>
      </c>
      <c r="N6" s="2" t="s">
        <v>15892</v>
      </c>
      <c r="O6" s="2" t="s">
        <v>164</v>
      </c>
    </row>
    <row r="7" spans="1:16" ht="13.2" customHeight="1" x14ac:dyDescent="0.25">
      <c r="A7" s="2">
        <v>5</v>
      </c>
      <c r="B7" s="2" t="s">
        <v>15893</v>
      </c>
      <c r="C7" s="2"/>
      <c r="D7" s="2" t="s">
        <v>15894</v>
      </c>
      <c r="E7" s="2" t="s">
        <v>15895</v>
      </c>
      <c r="F7" s="2" t="s">
        <v>15896</v>
      </c>
      <c r="G7" s="2" t="s">
        <v>15897</v>
      </c>
      <c r="H7" s="2" t="s">
        <v>15898</v>
      </c>
      <c r="I7" s="8" t="s">
        <v>90</v>
      </c>
      <c r="J7" s="2" t="s">
        <v>15899</v>
      </c>
      <c r="K7" s="2"/>
      <c r="L7" s="2" t="s">
        <v>15900</v>
      </c>
      <c r="M7" s="2" t="s">
        <v>9</v>
      </c>
      <c r="N7" s="2" t="s">
        <v>15901</v>
      </c>
      <c r="O7" s="2" t="s">
        <v>164</v>
      </c>
    </row>
    <row r="8" spans="1:16" ht="13.2" customHeight="1" x14ac:dyDescent="0.25">
      <c r="A8" s="2">
        <v>6</v>
      </c>
      <c r="B8" s="2" t="s">
        <v>15902</v>
      </c>
      <c r="C8" s="2"/>
      <c r="D8" s="2" t="s">
        <v>15903</v>
      </c>
      <c r="E8" s="2" t="s">
        <v>15904</v>
      </c>
      <c r="F8" s="2" t="s">
        <v>15905</v>
      </c>
      <c r="G8" s="2" t="s">
        <v>15906</v>
      </c>
      <c r="H8" s="2" t="s">
        <v>15907</v>
      </c>
      <c r="I8" s="8" t="s">
        <v>90</v>
      </c>
      <c r="J8" s="2" t="s">
        <v>15908</v>
      </c>
      <c r="K8" s="2"/>
      <c r="L8" s="2" t="s">
        <v>15909</v>
      </c>
      <c r="M8" s="2" t="s">
        <v>9</v>
      </c>
      <c r="N8" s="2" t="s">
        <v>15910</v>
      </c>
      <c r="O8" s="2" t="s">
        <v>164</v>
      </c>
    </row>
    <row r="9" spans="1:16" ht="13.2" customHeight="1" x14ac:dyDescent="0.25">
      <c r="A9" s="2">
        <v>7</v>
      </c>
      <c r="B9" s="2" t="s">
        <v>15911</v>
      </c>
      <c r="C9" s="2"/>
      <c r="D9" s="2" t="s">
        <v>15912</v>
      </c>
      <c r="E9" s="2" t="s">
        <v>15913</v>
      </c>
      <c r="F9" s="2" t="s">
        <v>15914</v>
      </c>
      <c r="G9" s="2" t="s">
        <v>15915</v>
      </c>
      <c r="H9" s="2" t="s">
        <v>15916</v>
      </c>
      <c r="I9" s="8" t="s">
        <v>96</v>
      </c>
      <c r="J9" s="2" t="s">
        <v>15917</v>
      </c>
      <c r="K9" s="2"/>
      <c r="L9" s="2" t="s">
        <v>15909</v>
      </c>
      <c r="M9" s="2" t="s">
        <v>9</v>
      </c>
      <c r="N9" s="2" t="s">
        <v>15918</v>
      </c>
      <c r="O9" s="2" t="s">
        <v>164</v>
      </c>
    </row>
    <row r="10" spans="1:16" ht="13.2" customHeight="1" x14ac:dyDescent="0.25">
      <c r="A10" s="2">
        <v>8</v>
      </c>
      <c r="B10" s="2" t="s">
        <v>15919</v>
      </c>
      <c r="C10" s="2"/>
      <c r="D10" s="2" t="s">
        <v>15920</v>
      </c>
      <c r="E10" s="2" t="s">
        <v>15921</v>
      </c>
      <c r="F10" s="2" t="s">
        <v>15922</v>
      </c>
      <c r="G10" s="2" t="s">
        <v>15923</v>
      </c>
      <c r="H10" s="2" t="s">
        <v>15924</v>
      </c>
      <c r="I10" s="8" t="s">
        <v>96</v>
      </c>
      <c r="J10" s="2" t="s">
        <v>15925</v>
      </c>
      <c r="K10" s="2"/>
      <c r="L10" s="2" t="s">
        <v>15926</v>
      </c>
      <c r="M10" s="2" t="s">
        <v>9</v>
      </c>
      <c r="N10" s="2" t="s">
        <v>15927</v>
      </c>
      <c r="O10" s="2" t="s">
        <v>164</v>
      </c>
    </row>
    <row r="11" spans="1:16" ht="13.2" customHeight="1" x14ac:dyDescent="0.25">
      <c r="A11" s="2">
        <v>9</v>
      </c>
      <c r="B11" s="2" t="s">
        <v>15928</v>
      </c>
      <c r="C11" s="2"/>
      <c r="D11" s="2" t="s">
        <v>15929</v>
      </c>
      <c r="E11" s="2" t="s">
        <v>15930</v>
      </c>
      <c r="F11" s="2" t="s">
        <v>15931</v>
      </c>
      <c r="G11" s="2" t="s">
        <v>15932</v>
      </c>
      <c r="H11" s="2" t="s">
        <v>15933</v>
      </c>
      <c r="I11" s="8" t="s">
        <v>113</v>
      </c>
      <c r="J11" s="2" t="s">
        <v>15934</v>
      </c>
      <c r="K11" s="2"/>
      <c r="L11" s="2" t="s">
        <v>15935</v>
      </c>
      <c r="M11" s="2" t="s">
        <v>9</v>
      </c>
      <c r="N11" s="2" t="s">
        <v>15936</v>
      </c>
      <c r="O11" s="2" t="s">
        <v>164</v>
      </c>
    </row>
    <row r="12" spans="1:16" ht="13.2" customHeight="1" x14ac:dyDescent="0.25">
      <c r="A12" s="2">
        <v>10</v>
      </c>
      <c r="B12" s="2" t="s">
        <v>15937</v>
      </c>
      <c r="C12" s="2"/>
      <c r="D12" s="2" t="s">
        <v>15938</v>
      </c>
      <c r="E12" s="2" t="s">
        <v>15939</v>
      </c>
      <c r="F12" s="2" t="s">
        <v>15940</v>
      </c>
      <c r="G12" s="2" t="s">
        <v>15941</v>
      </c>
      <c r="H12" s="2" t="s">
        <v>15942</v>
      </c>
      <c r="I12" s="8" t="s">
        <v>113</v>
      </c>
      <c r="J12" s="2" t="s">
        <v>15943</v>
      </c>
      <c r="K12" s="2"/>
      <c r="L12" s="2" t="s">
        <v>15864</v>
      </c>
      <c r="M12" s="2" t="s">
        <v>9</v>
      </c>
      <c r="N12" s="2" t="s">
        <v>15944</v>
      </c>
      <c r="O12" s="2" t="s">
        <v>164</v>
      </c>
    </row>
    <row r="13" spans="1:16" ht="13.2" customHeight="1" x14ac:dyDescent="0.25">
      <c r="A13" s="2">
        <v>11</v>
      </c>
      <c r="B13" s="2" t="s">
        <v>15945</v>
      </c>
      <c r="C13" s="2"/>
      <c r="D13" s="2" t="s">
        <v>15946</v>
      </c>
      <c r="E13" s="2" t="s">
        <v>15947</v>
      </c>
      <c r="F13" s="2" t="s">
        <v>15948</v>
      </c>
      <c r="G13" s="2" t="s">
        <v>15949</v>
      </c>
      <c r="H13" s="2" t="s">
        <v>15950</v>
      </c>
      <c r="I13" s="8" t="s">
        <v>90</v>
      </c>
      <c r="J13" s="2" t="s">
        <v>15951</v>
      </c>
      <c r="K13" s="2"/>
      <c r="L13" s="2" t="s">
        <v>15952</v>
      </c>
      <c r="M13" s="2" t="s">
        <v>9</v>
      </c>
      <c r="N13" s="2" t="s">
        <v>15953</v>
      </c>
      <c r="O13" s="2" t="s">
        <v>164</v>
      </c>
    </row>
    <row r="14" spans="1:16" ht="13.2" customHeight="1" x14ac:dyDescent="0.25">
      <c r="A14" s="2">
        <v>12</v>
      </c>
      <c r="B14" s="2" t="s">
        <v>15954</v>
      </c>
      <c r="C14" s="2"/>
      <c r="D14" s="2" t="s">
        <v>3460</v>
      </c>
      <c r="E14" s="2" t="s">
        <v>3461</v>
      </c>
      <c r="F14" s="2" t="s">
        <v>3462</v>
      </c>
      <c r="G14" s="2" t="s">
        <v>3463</v>
      </c>
      <c r="H14" s="2" t="s">
        <v>3464</v>
      </c>
      <c r="I14" s="8" t="s">
        <v>113</v>
      </c>
      <c r="J14" s="2" t="s">
        <v>15955</v>
      </c>
      <c r="K14" s="2"/>
      <c r="L14" s="2" t="s">
        <v>15882</v>
      </c>
      <c r="M14" s="2" t="s">
        <v>9</v>
      </c>
      <c r="N14" s="2" t="s">
        <v>15956</v>
      </c>
      <c r="O14" s="2" t="s">
        <v>164</v>
      </c>
    </row>
    <row r="15" spans="1:16" ht="13.2" customHeight="1" x14ac:dyDescent="0.25">
      <c r="A15" s="2">
        <v>13</v>
      </c>
      <c r="B15" s="2" t="s">
        <v>15957</v>
      </c>
      <c r="C15" s="2"/>
      <c r="D15" s="2" t="s">
        <v>15958</v>
      </c>
      <c r="E15" s="2" t="s">
        <v>15959</v>
      </c>
      <c r="F15" s="2" t="s">
        <v>15960</v>
      </c>
      <c r="G15" s="2" t="s">
        <v>15961</v>
      </c>
      <c r="H15" s="2" t="s">
        <v>15962</v>
      </c>
      <c r="I15" s="8" t="s">
        <v>113</v>
      </c>
      <c r="J15" s="2" t="s">
        <v>15963</v>
      </c>
      <c r="K15" s="2"/>
      <c r="L15" s="2" t="s">
        <v>15964</v>
      </c>
      <c r="M15" s="2" t="s">
        <v>9</v>
      </c>
      <c r="N15" s="2" t="s">
        <v>15965</v>
      </c>
      <c r="O15" s="2" t="s">
        <v>164</v>
      </c>
    </row>
    <row r="16" spans="1:16" ht="13.2" customHeight="1" x14ac:dyDescent="0.25">
      <c r="A16" s="2">
        <v>14</v>
      </c>
      <c r="B16" s="2" t="s">
        <v>15966</v>
      </c>
      <c r="C16" s="2"/>
      <c r="D16" s="2" t="s">
        <v>15967</v>
      </c>
      <c r="E16" s="2" t="s">
        <v>15968</v>
      </c>
      <c r="F16" s="2" t="s">
        <v>15969</v>
      </c>
      <c r="G16" s="2" t="s">
        <v>15970</v>
      </c>
      <c r="H16" s="2" t="s">
        <v>15971</v>
      </c>
      <c r="I16" s="8" t="s">
        <v>84</v>
      </c>
      <c r="J16" s="2" t="s">
        <v>15972</v>
      </c>
      <c r="K16" s="2"/>
      <c r="L16" s="2" t="s">
        <v>15973</v>
      </c>
      <c r="M16" s="2" t="s">
        <v>9</v>
      </c>
      <c r="N16" s="2" t="s">
        <v>15974</v>
      </c>
      <c r="O16" s="2" t="s">
        <v>164</v>
      </c>
    </row>
    <row r="17" spans="1:16" ht="409.6" x14ac:dyDescent="0.25">
      <c r="A17" s="35">
        <v>15</v>
      </c>
      <c r="B17" s="34" t="s">
        <v>15975</v>
      </c>
      <c r="C17" s="35"/>
      <c r="D17" s="34" t="s">
        <v>96</v>
      </c>
      <c r="E17" s="34" t="s">
        <v>15976</v>
      </c>
      <c r="F17" s="34" t="s">
        <v>15977</v>
      </c>
      <c r="G17" s="34" t="s">
        <v>15978</v>
      </c>
      <c r="H17" s="34" t="s">
        <v>15979</v>
      </c>
      <c r="I17" s="35">
        <v>1</v>
      </c>
      <c r="J17" s="34" t="s">
        <v>15980</v>
      </c>
      <c r="K17" s="35"/>
      <c r="L17" s="34" t="s">
        <v>15981</v>
      </c>
      <c r="M17" s="35" t="s">
        <v>9</v>
      </c>
      <c r="N17" s="34" t="s">
        <v>15982</v>
      </c>
      <c r="O17" s="35" t="s">
        <v>164</v>
      </c>
      <c r="P17" s="35" t="s">
        <v>2017</v>
      </c>
    </row>
    <row r="18" spans="1:16" ht="409.6" x14ac:dyDescent="0.25">
      <c r="A18" s="35">
        <v>16</v>
      </c>
      <c r="B18" s="34" t="s">
        <v>15983</v>
      </c>
      <c r="C18" s="35"/>
      <c r="D18" s="34" t="s">
        <v>84</v>
      </c>
      <c r="E18" s="34" t="s">
        <v>90</v>
      </c>
      <c r="F18" s="34" t="s">
        <v>132</v>
      </c>
      <c r="G18" s="34" t="s">
        <v>10123</v>
      </c>
      <c r="H18" s="34" t="s">
        <v>15984</v>
      </c>
      <c r="I18" s="35">
        <v>1</v>
      </c>
      <c r="J18" s="34" t="s">
        <v>15985</v>
      </c>
      <c r="K18" s="35"/>
      <c r="L18" s="34" t="s">
        <v>15981</v>
      </c>
      <c r="M18" s="35" t="s">
        <v>9</v>
      </c>
      <c r="N18" s="34" t="s">
        <v>15986</v>
      </c>
      <c r="O18" s="35" t="s">
        <v>164</v>
      </c>
      <c r="P18" s="35" t="s">
        <v>2017</v>
      </c>
    </row>
    <row r="19" spans="1:16" ht="409.6" x14ac:dyDescent="0.25">
      <c r="A19" s="35">
        <v>17</v>
      </c>
      <c r="B19" s="34" t="s">
        <v>15987</v>
      </c>
      <c r="C19" s="35"/>
      <c r="D19" s="34" t="s">
        <v>15988</v>
      </c>
      <c r="E19" s="34" t="s">
        <v>15989</v>
      </c>
      <c r="F19" s="34" t="s">
        <v>15990</v>
      </c>
      <c r="G19" s="34" t="s">
        <v>15991</v>
      </c>
      <c r="H19" s="34"/>
      <c r="I19" s="35">
        <v>1</v>
      </c>
      <c r="J19" s="34" t="s">
        <v>15992</v>
      </c>
      <c r="K19" s="35"/>
      <c r="L19" s="34" t="s">
        <v>15981</v>
      </c>
      <c r="M19" s="35" t="s">
        <v>9</v>
      </c>
      <c r="N19" s="34" t="s">
        <v>15993</v>
      </c>
      <c r="O19" s="35" t="s">
        <v>164</v>
      </c>
      <c r="P19" s="35" t="s">
        <v>2017</v>
      </c>
    </row>
    <row r="20" spans="1:16" ht="409.6" x14ac:dyDescent="0.25">
      <c r="A20" s="35">
        <v>18</v>
      </c>
      <c r="B20" s="34" t="s">
        <v>15994</v>
      </c>
      <c r="C20" s="35" t="s">
        <v>15995</v>
      </c>
      <c r="D20" s="34" t="s">
        <v>15996</v>
      </c>
      <c r="E20" s="34" t="s">
        <v>15997</v>
      </c>
      <c r="F20" s="34" t="s">
        <v>15998</v>
      </c>
      <c r="G20" s="34" t="s">
        <v>15999</v>
      </c>
      <c r="H20" s="34" t="s">
        <v>16000</v>
      </c>
      <c r="I20" s="35">
        <v>1</v>
      </c>
      <c r="J20" s="34" t="s">
        <v>16001</v>
      </c>
      <c r="K20" s="35"/>
      <c r="L20" s="34" t="s">
        <v>15981</v>
      </c>
      <c r="M20" s="35" t="s">
        <v>9</v>
      </c>
      <c r="N20" s="34" t="s">
        <v>16002</v>
      </c>
      <c r="O20" s="35" t="s">
        <v>164</v>
      </c>
      <c r="P20" s="35" t="s">
        <v>2155</v>
      </c>
    </row>
    <row r="21" spans="1:16" ht="409.6" x14ac:dyDescent="0.25">
      <c r="A21" s="35">
        <v>19</v>
      </c>
      <c r="B21" s="34" t="s">
        <v>16003</v>
      </c>
      <c r="C21" s="35"/>
      <c r="D21" s="34" t="s">
        <v>16004</v>
      </c>
      <c r="E21" s="34" t="s">
        <v>16005</v>
      </c>
      <c r="F21" s="34" t="s">
        <v>16006</v>
      </c>
      <c r="G21" s="34" t="s">
        <v>10250</v>
      </c>
      <c r="H21" s="34" t="s">
        <v>16007</v>
      </c>
      <c r="I21" s="35">
        <v>1</v>
      </c>
      <c r="J21" s="34" t="s">
        <v>16008</v>
      </c>
      <c r="K21" s="35"/>
      <c r="L21" s="34" t="s">
        <v>15981</v>
      </c>
      <c r="M21" s="35" t="s">
        <v>9</v>
      </c>
      <c r="N21" s="34" t="s">
        <v>16009</v>
      </c>
      <c r="O21" s="35" t="s">
        <v>164</v>
      </c>
      <c r="P21" s="35" t="s">
        <v>2155</v>
      </c>
    </row>
    <row r="22" spans="1:16" ht="409.6" x14ac:dyDescent="0.25">
      <c r="A22" s="35">
        <v>20</v>
      </c>
      <c r="B22" s="34" t="s">
        <v>16010</v>
      </c>
      <c r="C22" s="35"/>
      <c r="D22" s="34" t="s">
        <v>16011</v>
      </c>
      <c r="E22" s="34" t="s">
        <v>16012</v>
      </c>
      <c r="F22" s="34" t="s">
        <v>16013</v>
      </c>
      <c r="G22" s="34" t="s">
        <v>16014</v>
      </c>
      <c r="H22" s="34" t="s">
        <v>16015</v>
      </c>
      <c r="I22" s="35">
        <v>1</v>
      </c>
      <c r="J22" s="34" t="s">
        <v>16016</v>
      </c>
      <c r="K22" s="35"/>
      <c r="L22" s="34" t="s">
        <v>15981</v>
      </c>
      <c r="M22" s="35" t="s">
        <v>9</v>
      </c>
      <c r="N22" s="34" t="s">
        <v>16017</v>
      </c>
      <c r="O22" s="35" t="s">
        <v>164</v>
      </c>
      <c r="P22" s="35" t="s">
        <v>2155</v>
      </c>
    </row>
    <row r="23" spans="1:16" ht="409.6" x14ac:dyDescent="0.25">
      <c r="A23" s="35">
        <v>21</v>
      </c>
      <c r="B23" s="34" t="s">
        <v>16018</v>
      </c>
      <c r="C23" s="35"/>
      <c r="D23" s="34" t="s">
        <v>11124</v>
      </c>
      <c r="E23" s="34" t="s">
        <v>16019</v>
      </c>
      <c r="F23" s="34" t="s">
        <v>16020</v>
      </c>
      <c r="G23" s="34" t="s">
        <v>1906</v>
      </c>
      <c r="H23" s="34" t="s">
        <v>16021</v>
      </c>
      <c r="I23" s="35">
        <v>1</v>
      </c>
      <c r="J23" s="34" t="s">
        <v>16022</v>
      </c>
      <c r="K23" s="35"/>
      <c r="L23" s="34" t="s">
        <v>15981</v>
      </c>
      <c r="M23" s="35" t="s">
        <v>9</v>
      </c>
      <c r="N23" s="34" t="s">
        <v>16023</v>
      </c>
      <c r="O23" s="35" t="s">
        <v>164</v>
      </c>
      <c r="P23" s="35" t="s">
        <v>2155</v>
      </c>
    </row>
    <row r="24" spans="1:16" ht="409.6" x14ac:dyDescent="0.25">
      <c r="A24" s="35">
        <v>22</v>
      </c>
      <c r="B24" s="34" t="s">
        <v>16024</v>
      </c>
      <c r="C24" s="35"/>
      <c r="D24" s="34" t="s">
        <v>16025</v>
      </c>
      <c r="E24" s="34" t="s">
        <v>16026</v>
      </c>
      <c r="F24" s="34" t="s">
        <v>16027</v>
      </c>
      <c r="G24" s="34" t="s">
        <v>16028</v>
      </c>
      <c r="H24" s="34" t="s">
        <v>16029</v>
      </c>
      <c r="I24" s="35">
        <v>1</v>
      </c>
      <c r="J24" s="34" t="s">
        <v>16030</v>
      </c>
      <c r="K24" s="35"/>
      <c r="L24" s="34" t="s">
        <v>15981</v>
      </c>
      <c r="M24" s="35" t="s">
        <v>9</v>
      </c>
      <c r="N24" s="34" t="s">
        <v>16031</v>
      </c>
      <c r="O24" s="35" t="s">
        <v>164</v>
      </c>
      <c r="P24" s="35" t="s">
        <v>2155</v>
      </c>
    </row>
    <row r="25" spans="1:16" ht="409.6" x14ac:dyDescent="0.25">
      <c r="A25" s="35">
        <v>23</v>
      </c>
      <c r="B25" s="34" t="s">
        <v>16032</v>
      </c>
      <c r="C25" s="35"/>
      <c r="D25" s="34" t="s">
        <v>16033</v>
      </c>
      <c r="E25" s="34" t="s">
        <v>16034</v>
      </c>
      <c r="F25" s="34" t="s">
        <v>16035</v>
      </c>
      <c r="G25" s="34" t="s">
        <v>16036</v>
      </c>
      <c r="H25" s="34" t="s">
        <v>16037</v>
      </c>
      <c r="I25" s="35">
        <v>2</v>
      </c>
      <c r="J25" s="34" t="s">
        <v>16038</v>
      </c>
      <c r="K25" s="35"/>
      <c r="L25" s="34" t="s">
        <v>15981</v>
      </c>
      <c r="M25" s="35" t="s">
        <v>9</v>
      </c>
      <c r="N25" s="34" t="s">
        <v>16039</v>
      </c>
      <c r="O25" s="35" t="s">
        <v>164</v>
      </c>
      <c r="P25" s="35" t="s">
        <v>3354</v>
      </c>
    </row>
    <row r="26" spans="1:16" ht="409.6" x14ac:dyDescent="0.25">
      <c r="A26" s="35">
        <v>24</v>
      </c>
      <c r="B26" s="34" t="s">
        <v>16040</v>
      </c>
      <c r="C26" s="35"/>
      <c r="D26" s="34" t="s">
        <v>15404</v>
      </c>
      <c r="E26" s="34" t="s">
        <v>15405</v>
      </c>
      <c r="F26" s="34" t="s">
        <v>15406</v>
      </c>
      <c r="G26" s="34" t="s">
        <v>15407</v>
      </c>
      <c r="H26" s="34" t="s">
        <v>16041</v>
      </c>
      <c r="I26" s="35">
        <v>4</v>
      </c>
      <c r="J26" s="34" t="s">
        <v>16042</v>
      </c>
      <c r="K26" s="35"/>
      <c r="L26" s="34" t="s">
        <v>15981</v>
      </c>
      <c r="M26" s="35" t="s">
        <v>9</v>
      </c>
      <c r="N26" s="34" t="s">
        <v>16043</v>
      </c>
      <c r="O26" s="35" t="s">
        <v>164</v>
      </c>
      <c r="P26" s="35" t="s">
        <v>3354</v>
      </c>
    </row>
    <row r="27" spans="1:16" ht="409.6" x14ac:dyDescent="0.25">
      <c r="A27" s="35">
        <v>25</v>
      </c>
      <c r="B27" s="34" t="s">
        <v>16044</v>
      </c>
      <c r="C27" s="35"/>
      <c r="D27" s="34" t="s">
        <v>12762</v>
      </c>
      <c r="E27" s="34" t="s">
        <v>16045</v>
      </c>
      <c r="F27" s="34" t="s">
        <v>16046</v>
      </c>
      <c r="G27" s="34" t="s">
        <v>16047</v>
      </c>
      <c r="H27" s="34" t="s">
        <v>16048</v>
      </c>
      <c r="I27" s="35">
        <v>2</v>
      </c>
      <c r="J27" s="34" t="s">
        <v>16049</v>
      </c>
      <c r="K27" s="35"/>
      <c r="L27" s="34" t="s">
        <v>15981</v>
      </c>
      <c r="M27" s="35" t="s">
        <v>9</v>
      </c>
      <c r="N27" s="34" t="s">
        <v>16050</v>
      </c>
      <c r="O27" s="35" t="s">
        <v>164</v>
      </c>
      <c r="P27" s="35" t="s">
        <v>3354</v>
      </c>
    </row>
    <row r="28" spans="1:16" ht="409.6" x14ac:dyDescent="0.25">
      <c r="A28" s="35">
        <v>26</v>
      </c>
      <c r="B28" s="34" t="s">
        <v>16051</v>
      </c>
      <c r="C28" s="35"/>
      <c r="D28" s="34" t="s">
        <v>11124</v>
      </c>
      <c r="E28" s="34" t="s">
        <v>16019</v>
      </c>
      <c r="F28" s="34" t="s">
        <v>16020</v>
      </c>
      <c r="G28" s="34" t="s">
        <v>1906</v>
      </c>
      <c r="H28" s="34" t="s">
        <v>16052</v>
      </c>
      <c r="I28" s="35">
        <v>3</v>
      </c>
      <c r="J28" s="34" t="s">
        <v>16053</v>
      </c>
      <c r="K28" s="35"/>
      <c r="L28" s="34" t="s">
        <v>15981</v>
      </c>
      <c r="M28" s="35" t="s">
        <v>9</v>
      </c>
      <c r="N28" s="34" t="s">
        <v>16054</v>
      </c>
      <c r="O28" s="35" t="s">
        <v>164</v>
      </c>
      <c r="P28" s="35" t="s">
        <v>3354</v>
      </c>
    </row>
    <row r="29" spans="1:16" ht="409.6" x14ac:dyDescent="0.25">
      <c r="A29" s="35">
        <v>27</v>
      </c>
      <c r="B29" s="34" t="s">
        <v>16055</v>
      </c>
      <c r="C29" s="35"/>
      <c r="D29" s="34" t="s">
        <v>16056</v>
      </c>
      <c r="E29" s="34" t="s">
        <v>16057</v>
      </c>
      <c r="F29" s="34" t="s">
        <v>16058</v>
      </c>
      <c r="G29" s="34" t="s">
        <v>16059</v>
      </c>
      <c r="H29" s="34" t="s">
        <v>16060</v>
      </c>
      <c r="I29" s="35">
        <v>3</v>
      </c>
      <c r="J29" s="34" t="s">
        <v>16061</v>
      </c>
      <c r="K29" s="35"/>
      <c r="L29" s="34" t="s">
        <v>15981</v>
      </c>
      <c r="M29" s="35" t="s">
        <v>9</v>
      </c>
      <c r="N29" s="34" t="s">
        <v>16062</v>
      </c>
      <c r="O29" s="35" t="s">
        <v>164</v>
      </c>
      <c r="P29" s="35" t="s">
        <v>3354</v>
      </c>
    </row>
    <row r="30" spans="1:16" ht="409.6" x14ac:dyDescent="0.25">
      <c r="A30" s="35">
        <v>28</v>
      </c>
      <c r="B30" s="34" t="s">
        <v>16063</v>
      </c>
      <c r="C30" s="35"/>
      <c r="D30" s="34" t="s">
        <v>16011</v>
      </c>
      <c r="E30" s="34" t="s">
        <v>16012</v>
      </c>
      <c r="F30" s="34" t="s">
        <v>16013</v>
      </c>
      <c r="G30" s="34" t="s">
        <v>16014</v>
      </c>
      <c r="H30" s="34" t="s">
        <v>16064</v>
      </c>
      <c r="I30" s="35">
        <v>4</v>
      </c>
      <c r="J30" s="34" t="s">
        <v>16065</v>
      </c>
      <c r="K30" s="35"/>
      <c r="L30" s="34" t="s">
        <v>15981</v>
      </c>
      <c r="M30" s="35" t="s">
        <v>9</v>
      </c>
      <c r="N30" s="34" t="s">
        <v>16066</v>
      </c>
      <c r="O30" s="35" t="s">
        <v>164</v>
      </c>
      <c r="P30" s="35" t="s">
        <v>3354</v>
      </c>
    </row>
    <row r="31" spans="1:16" ht="409.6" x14ac:dyDescent="0.25">
      <c r="A31" s="35">
        <v>29</v>
      </c>
      <c r="B31" s="34" t="s">
        <v>16067</v>
      </c>
      <c r="C31" s="35"/>
      <c r="D31" s="34" t="s">
        <v>16068</v>
      </c>
      <c r="E31" s="34" t="s">
        <v>16069</v>
      </c>
      <c r="F31" s="34" t="s">
        <v>16070</v>
      </c>
      <c r="G31" s="34" t="s">
        <v>16071</v>
      </c>
      <c r="H31" s="34" t="s">
        <v>16072</v>
      </c>
      <c r="I31" s="35">
        <v>1</v>
      </c>
      <c r="J31" s="34" t="s">
        <v>16073</v>
      </c>
      <c r="K31" s="35"/>
      <c r="L31" s="34" t="s">
        <v>15981</v>
      </c>
      <c r="M31" s="35" t="s">
        <v>9</v>
      </c>
      <c r="N31" s="34" t="s">
        <v>14081</v>
      </c>
      <c r="O31" s="35" t="s">
        <v>164</v>
      </c>
      <c r="P31" s="35" t="s">
        <v>2436</v>
      </c>
    </row>
    <row r="32" spans="1:16" ht="409.6" x14ac:dyDescent="0.25">
      <c r="A32" s="35">
        <v>30</v>
      </c>
      <c r="B32" s="34" t="s">
        <v>16074</v>
      </c>
      <c r="C32" s="35"/>
      <c r="D32" s="34" t="s">
        <v>10142</v>
      </c>
      <c r="E32" s="34" t="s">
        <v>10250</v>
      </c>
      <c r="F32" s="34" t="s">
        <v>10354</v>
      </c>
      <c r="G32" s="34" t="s">
        <v>10450</v>
      </c>
      <c r="H32" s="34" t="s">
        <v>10504</v>
      </c>
      <c r="I32" s="35">
        <v>1</v>
      </c>
      <c r="J32" s="34" t="s">
        <v>16075</v>
      </c>
      <c r="K32" s="35"/>
      <c r="L32" s="34" t="s">
        <v>15981</v>
      </c>
      <c r="M32" s="35" t="s">
        <v>9</v>
      </c>
      <c r="N32" s="34" t="s">
        <v>16076</v>
      </c>
      <c r="O32" s="35" t="s">
        <v>164</v>
      </c>
      <c r="P32" s="35" t="s">
        <v>2436</v>
      </c>
    </row>
    <row r="33" spans="1:16" ht="409.6" x14ac:dyDescent="0.25">
      <c r="A33" s="35">
        <v>31</v>
      </c>
      <c r="B33" s="34" t="s">
        <v>16077</v>
      </c>
      <c r="C33" s="35"/>
      <c r="D33" s="34" t="s">
        <v>3460</v>
      </c>
      <c r="E33" s="34" t="s">
        <v>3461</v>
      </c>
      <c r="F33" s="34" t="s">
        <v>3462</v>
      </c>
      <c r="G33" s="34" t="s">
        <v>3463</v>
      </c>
      <c r="H33" s="34" t="s">
        <v>3464</v>
      </c>
      <c r="I33" s="35">
        <v>1</v>
      </c>
      <c r="J33" s="34" t="s">
        <v>16078</v>
      </c>
      <c r="K33" s="35"/>
      <c r="L33" s="34" t="s">
        <v>15981</v>
      </c>
      <c r="M33" s="35" t="s">
        <v>9</v>
      </c>
      <c r="N33" s="34" t="s">
        <v>16079</v>
      </c>
      <c r="O33" s="35" t="s">
        <v>164</v>
      </c>
      <c r="P33" s="35" t="s">
        <v>2436</v>
      </c>
    </row>
    <row r="34" spans="1:16" ht="409.6" x14ac:dyDescent="0.25">
      <c r="A34" s="35">
        <v>32</v>
      </c>
      <c r="B34" s="34" t="s">
        <v>16080</v>
      </c>
      <c r="C34" s="35"/>
      <c r="D34" s="34" t="s">
        <v>16081</v>
      </c>
      <c r="E34" s="34" t="s">
        <v>16082</v>
      </c>
      <c r="F34" s="34" t="s">
        <v>16083</v>
      </c>
      <c r="G34" s="34" t="s">
        <v>16084</v>
      </c>
      <c r="H34" s="34" t="s">
        <v>16085</v>
      </c>
      <c r="I34" s="35">
        <v>1</v>
      </c>
      <c r="J34" s="34" t="s">
        <v>16086</v>
      </c>
      <c r="K34" s="35"/>
      <c r="L34" s="34" t="s">
        <v>15981</v>
      </c>
      <c r="M34" s="35" t="s">
        <v>9</v>
      </c>
      <c r="N34" s="34" t="s">
        <v>16087</v>
      </c>
      <c r="O34" s="35" t="s">
        <v>164</v>
      </c>
      <c r="P34" s="35" t="s">
        <v>2514</v>
      </c>
    </row>
    <row r="35" spans="1:16" ht="409.6" x14ac:dyDescent="0.25">
      <c r="A35" s="35">
        <v>33</v>
      </c>
      <c r="B35" s="34" t="s">
        <v>16088</v>
      </c>
      <c r="C35" s="35"/>
      <c r="D35" s="34" t="s">
        <v>10111</v>
      </c>
      <c r="E35" s="34" t="s">
        <v>10123</v>
      </c>
      <c r="F35" s="34" t="s">
        <v>10130</v>
      </c>
      <c r="G35" s="34" t="s">
        <v>10137</v>
      </c>
      <c r="H35" s="34" t="s">
        <v>10142</v>
      </c>
      <c r="I35" s="35">
        <v>1</v>
      </c>
      <c r="J35" s="34" t="s">
        <v>16089</v>
      </c>
      <c r="K35" s="35"/>
      <c r="L35" s="34" t="s">
        <v>15981</v>
      </c>
      <c r="M35" s="35" t="s">
        <v>9</v>
      </c>
      <c r="N35" s="34" t="s">
        <v>16090</v>
      </c>
      <c r="O35" s="35" t="s">
        <v>164</v>
      </c>
      <c r="P35" s="35" t="s">
        <v>2514</v>
      </c>
    </row>
  </sheetData>
  <mergeCells count="1">
    <mergeCell ref="A1:F1"/>
  </mergeCell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Q273"/>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6" ht="13.2" customHeight="1" x14ac:dyDescent="0.25">
      <c r="A3" s="35">
        <v>1</v>
      </c>
      <c r="B3" s="34" t="s">
        <v>16091</v>
      </c>
      <c r="C3" s="35"/>
      <c r="D3" s="34" t="s">
        <v>16092</v>
      </c>
      <c r="E3" s="34" t="s">
        <v>16093</v>
      </c>
      <c r="F3" s="34" t="s">
        <v>16094</v>
      </c>
      <c r="G3" s="34" t="s">
        <v>16095</v>
      </c>
      <c r="H3" s="34" t="s">
        <v>16096</v>
      </c>
      <c r="I3" s="35">
        <v>5</v>
      </c>
      <c r="J3" s="34" t="s">
        <v>16097</v>
      </c>
      <c r="K3" s="35"/>
      <c r="L3" s="34" t="s">
        <v>16098</v>
      </c>
      <c r="M3" s="35" t="s">
        <v>9</v>
      </c>
      <c r="N3" s="34" t="s">
        <v>807</v>
      </c>
      <c r="O3" s="35" t="s">
        <v>816</v>
      </c>
      <c r="P3" s="35" t="s">
        <v>669</v>
      </c>
    </row>
    <row r="4" spans="1:16" ht="13.2" customHeight="1" x14ac:dyDescent="0.25">
      <c r="A4" s="35">
        <v>2</v>
      </c>
      <c r="B4" s="34" t="s">
        <v>16099</v>
      </c>
      <c r="C4" s="35"/>
      <c r="D4" s="34" t="s">
        <v>16100</v>
      </c>
      <c r="E4" s="34" t="s">
        <v>16101</v>
      </c>
      <c r="F4" s="34" t="s">
        <v>4730</v>
      </c>
      <c r="G4" s="34" t="s">
        <v>1906</v>
      </c>
      <c r="H4" s="34" t="s">
        <v>16102</v>
      </c>
      <c r="I4" s="35">
        <v>2</v>
      </c>
      <c r="J4" s="34" t="s">
        <v>16103</v>
      </c>
      <c r="K4" s="35"/>
      <c r="L4" s="34" t="s">
        <v>16098</v>
      </c>
      <c r="M4" s="35" t="s">
        <v>9</v>
      </c>
      <c r="N4" s="34" t="s">
        <v>12575</v>
      </c>
      <c r="O4" s="35" t="s">
        <v>816</v>
      </c>
      <c r="P4" s="35" t="s">
        <v>669</v>
      </c>
    </row>
    <row r="5" spans="1:16" ht="13.2" customHeight="1" x14ac:dyDescent="0.25">
      <c r="A5" s="35">
        <v>3</v>
      </c>
      <c r="B5" s="34" t="s">
        <v>16104</v>
      </c>
      <c r="C5" s="35"/>
      <c r="D5" s="34" t="s">
        <v>4730</v>
      </c>
      <c r="E5" s="34" t="s">
        <v>16105</v>
      </c>
      <c r="F5" s="34" t="s">
        <v>16106</v>
      </c>
      <c r="G5" s="34" t="s">
        <v>9151</v>
      </c>
      <c r="H5" s="34" t="s">
        <v>13959</v>
      </c>
      <c r="I5" s="35">
        <v>5</v>
      </c>
      <c r="J5" s="34" t="s">
        <v>16107</v>
      </c>
      <c r="K5" s="35"/>
      <c r="L5" s="34" t="s">
        <v>16098</v>
      </c>
      <c r="M5" s="35" t="s">
        <v>9</v>
      </c>
      <c r="N5" s="34" t="s">
        <v>6610</v>
      </c>
      <c r="O5" s="35" t="s">
        <v>816</v>
      </c>
      <c r="P5" s="35" t="s">
        <v>669</v>
      </c>
    </row>
    <row r="6" spans="1:16" ht="13.2" customHeight="1" x14ac:dyDescent="0.25">
      <c r="A6" s="35">
        <v>4</v>
      </c>
      <c r="B6" s="34" t="s">
        <v>16108</v>
      </c>
      <c r="C6" s="35"/>
      <c r="D6" s="34" t="s">
        <v>16109</v>
      </c>
      <c r="E6" s="34" t="s">
        <v>16110</v>
      </c>
      <c r="F6" s="34" t="s">
        <v>16111</v>
      </c>
      <c r="G6" s="34" t="s">
        <v>16112</v>
      </c>
      <c r="H6" s="34" t="s">
        <v>16113</v>
      </c>
      <c r="I6" s="35">
        <v>3</v>
      </c>
      <c r="J6" s="34" t="s">
        <v>16114</v>
      </c>
      <c r="K6" s="35"/>
      <c r="L6" s="34" t="s">
        <v>16098</v>
      </c>
      <c r="M6" s="35" t="s">
        <v>9</v>
      </c>
      <c r="N6" s="34" t="s">
        <v>16115</v>
      </c>
      <c r="O6" s="35" t="s">
        <v>816</v>
      </c>
      <c r="P6" s="35" t="s">
        <v>669</v>
      </c>
    </row>
    <row r="7" spans="1:16" ht="13.2" customHeight="1" x14ac:dyDescent="0.25">
      <c r="A7" s="35">
        <v>5</v>
      </c>
      <c r="B7" s="34" t="s">
        <v>16116</v>
      </c>
      <c r="C7" s="35"/>
      <c r="D7" s="34" t="s">
        <v>16117</v>
      </c>
      <c r="E7" s="34" t="s">
        <v>16118</v>
      </c>
      <c r="F7" s="34" t="s">
        <v>16119</v>
      </c>
      <c r="G7" s="34" t="s">
        <v>16120</v>
      </c>
      <c r="H7" s="34" t="s">
        <v>16121</v>
      </c>
      <c r="I7" s="35">
        <v>4</v>
      </c>
      <c r="J7" s="34" t="s">
        <v>16122</v>
      </c>
      <c r="K7" s="35"/>
      <c r="L7" s="34" t="s">
        <v>16098</v>
      </c>
      <c r="M7" s="35" t="s">
        <v>9</v>
      </c>
      <c r="N7" s="34" t="s">
        <v>16123</v>
      </c>
      <c r="O7" s="35" t="s">
        <v>816</v>
      </c>
      <c r="P7" s="35" t="s">
        <v>669</v>
      </c>
    </row>
    <row r="8" spans="1:16" ht="13.2" customHeight="1" x14ac:dyDescent="0.25">
      <c r="A8" s="35">
        <v>6</v>
      </c>
      <c r="B8" s="34" t="s">
        <v>16124</v>
      </c>
      <c r="C8" s="35"/>
      <c r="D8" s="34" t="s">
        <v>16125</v>
      </c>
      <c r="E8" s="34" t="s">
        <v>16126</v>
      </c>
      <c r="F8" s="34" t="s">
        <v>16127</v>
      </c>
      <c r="G8" s="34" t="s">
        <v>16128</v>
      </c>
      <c r="H8" s="34" t="s">
        <v>16129</v>
      </c>
      <c r="I8" s="35">
        <v>1</v>
      </c>
      <c r="J8" s="34" t="s">
        <v>16130</v>
      </c>
      <c r="K8" s="35"/>
      <c r="L8" s="34" t="s">
        <v>16098</v>
      </c>
      <c r="M8" s="35" t="s">
        <v>9</v>
      </c>
      <c r="N8" s="34" t="s">
        <v>16131</v>
      </c>
      <c r="O8" s="35" t="s">
        <v>816</v>
      </c>
      <c r="P8" s="35" t="s">
        <v>669</v>
      </c>
    </row>
    <row r="9" spans="1:16" ht="13.2" customHeight="1" x14ac:dyDescent="0.25">
      <c r="A9" s="35">
        <v>7</v>
      </c>
      <c r="B9" s="34" t="s">
        <v>16132</v>
      </c>
      <c r="C9" s="35"/>
      <c r="D9" s="34" t="s">
        <v>16133</v>
      </c>
      <c r="E9" s="34" t="s">
        <v>16134</v>
      </c>
      <c r="F9" s="34" t="s">
        <v>16135</v>
      </c>
      <c r="G9" s="34" t="s">
        <v>16136</v>
      </c>
      <c r="H9" s="34" t="s">
        <v>16137</v>
      </c>
      <c r="I9" s="35">
        <v>1</v>
      </c>
      <c r="J9" s="34" t="s">
        <v>16138</v>
      </c>
      <c r="K9" s="35"/>
      <c r="L9" s="34" t="s">
        <v>16098</v>
      </c>
      <c r="M9" s="35" t="s">
        <v>9</v>
      </c>
      <c r="N9" s="34" t="s">
        <v>16139</v>
      </c>
      <c r="O9" s="35" t="s">
        <v>816</v>
      </c>
      <c r="P9" s="35" t="s">
        <v>669</v>
      </c>
    </row>
    <row r="10" spans="1:16" ht="13.2" customHeight="1" x14ac:dyDescent="0.25">
      <c r="A10" s="35">
        <v>8</v>
      </c>
      <c r="B10" s="34" t="s">
        <v>16140</v>
      </c>
      <c r="C10" s="35"/>
      <c r="D10" s="34" t="s">
        <v>16141</v>
      </c>
      <c r="E10" s="34" t="s">
        <v>542</v>
      </c>
      <c r="F10" s="34" t="s">
        <v>15739</v>
      </c>
      <c r="G10" s="34" t="s">
        <v>16142</v>
      </c>
      <c r="H10" s="34" t="s">
        <v>16143</v>
      </c>
      <c r="I10" s="35">
        <v>4</v>
      </c>
      <c r="J10" s="34" t="s">
        <v>16144</v>
      </c>
      <c r="K10" s="35"/>
      <c r="L10" s="34" t="s">
        <v>16145</v>
      </c>
      <c r="M10" s="35" t="s">
        <v>9</v>
      </c>
      <c r="N10" s="34" t="s">
        <v>16146</v>
      </c>
      <c r="O10" s="35" t="s">
        <v>816</v>
      </c>
      <c r="P10" s="35" t="s">
        <v>669</v>
      </c>
    </row>
    <row r="11" spans="1:16" ht="13.2" customHeight="1" x14ac:dyDescent="0.25">
      <c r="A11" s="35">
        <v>9</v>
      </c>
      <c r="B11" s="34" t="s">
        <v>16147</v>
      </c>
      <c r="C11" s="35"/>
      <c r="D11" s="34" t="s">
        <v>16141</v>
      </c>
      <c r="E11" s="34" t="s">
        <v>16148</v>
      </c>
      <c r="F11" s="34" t="s">
        <v>9825</v>
      </c>
      <c r="G11" s="34" t="s">
        <v>16142</v>
      </c>
      <c r="H11" s="34" t="s">
        <v>16149</v>
      </c>
      <c r="I11" s="35">
        <v>3</v>
      </c>
      <c r="J11" s="34" t="s">
        <v>16150</v>
      </c>
      <c r="K11" s="35"/>
      <c r="L11" s="34" t="s">
        <v>16098</v>
      </c>
      <c r="M11" s="35" t="s">
        <v>9</v>
      </c>
      <c r="N11" s="34" t="s">
        <v>16151</v>
      </c>
      <c r="O11" s="35" t="s">
        <v>816</v>
      </c>
      <c r="P11" s="35" t="s">
        <v>669</v>
      </c>
    </row>
    <row r="12" spans="1:16" ht="13.2" customHeight="1" x14ac:dyDescent="0.25">
      <c r="A12" s="35">
        <v>10</v>
      </c>
      <c r="B12" s="34" t="s">
        <v>16152</v>
      </c>
      <c r="C12" s="35"/>
      <c r="D12" s="34" t="s">
        <v>16153</v>
      </c>
      <c r="E12" s="34" t="s">
        <v>3183</v>
      </c>
      <c r="F12" s="34" t="s">
        <v>15013</v>
      </c>
      <c r="G12" s="34" t="s">
        <v>16154</v>
      </c>
      <c r="H12" s="34" t="s">
        <v>16155</v>
      </c>
      <c r="I12" s="35">
        <v>1</v>
      </c>
      <c r="J12" s="34" t="s">
        <v>16156</v>
      </c>
      <c r="K12" s="35"/>
      <c r="L12" s="34" t="s">
        <v>16098</v>
      </c>
      <c r="M12" s="35" t="s">
        <v>9</v>
      </c>
      <c r="N12" s="34" t="s">
        <v>16157</v>
      </c>
      <c r="O12" s="35" t="s">
        <v>816</v>
      </c>
      <c r="P12" s="35" t="s">
        <v>669</v>
      </c>
    </row>
    <row r="13" spans="1:16" ht="13.2" customHeight="1" x14ac:dyDescent="0.25">
      <c r="A13" s="35">
        <v>11</v>
      </c>
      <c r="B13" s="34" t="s">
        <v>16158</v>
      </c>
      <c r="C13" s="35"/>
      <c r="D13" s="34" t="s">
        <v>15715</v>
      </c>
      <c r="E13" s="34" t="s">
        <v>15713</v>
      </c>
      <c r="F13" s="34" t="s">
        <v>16159</v>
      </c>
      <c r="G13" s="34" t="s">
        <v>16160</v>
      </c>
      <c r="H13" s="34" t="s">
        <v>15714</v>
      </c>
      <c r="I13" s="35">
        <v>4</v>
      </c>
      <c r="J13" s="34" t="s">
        <v>16161</v>
      </c>
      <c r="K13" s="35"/>
      <c r="L13" s="34" t="s">
        <v>16098</v>
      </c>
      <c r="M13" s="35" t="s">
        <v>9</v>
      </c>
      <c r="N13" s="34" t="s">
        <v>16162</v>
      </c>
      <c r="O13" s="35" t="s">
        <v>816</v>
      </c>
      <c r="P13" s="35" t="s">
        <v>669</v>
      </c>
    </row>
    <row r="14" spans="1:16" ht="13.2" customHeight="1" x14ac:dyDescent="0.25">
      <c r="A14" s="35">
        <v>12</v>
      </c>
      <c r="B14" s="34" t="s">
        <v>16163</v>
      </c>
      <c r="C14" s="35"/>
      <c r="D14" s="34" t="s">
        <v>16164</v>
      </c>
      <c r="E14" s="34" t="s">
        <v>16165</v>
      </c>
      <c r="F14" s="34" t="s">
        <v>16166</v>
      </c>
      <c r="G14" s="34" t="s">
        <v>16167</v>
      </c>
      <c r="H14" s="34" t="s">
        <v>16168</v>
      </c>
      <c r="I14" s="35">
        <v>4</v>
      </c>
      <c r="J14" s="34" t="s">
        <v>16169</v>
      </c>
      <c r="K14" s="35"/>
      <c r="L14" s="34" t="s">
        <v>16098</v>
      </c>
      <c r="M14" s="35" t="s">
        <v>9</v>
      </c>
      <c r="N14" s="34" t="s">
        <v>16170</v>
      </c>
      <c r="O14" s="35" t="s">
        <v>816</v>
      </c>
      <c r="P14" s="35" t="s">
        <v>669</v>
      </c>
    </row>
    <row r="15" spans="1:16" ht="13.2" customHeight="1" x14ac:dyDescent="0.25">
      <c r="A15" s="35">
        <v>13</v>
      </c>
      <c r="B15" s="34" t="s">
        <v>16171</v>
      </c>
      <c r="C15" s="35"/>
      <c r="D15" s="34" t="s">
        <v>16172</v>
      </c>
      <c r="E15" s="34" t="s">
        <v>15775</v>
      </c>
      <c r="F15" s="34" t="s">
        <v>16173</v>
      </c>
      <c r="G15" s="34" t="s">
        <v>16174</v>
      </c>
      <c r="H15" s="34" t="s">
        <v>16175</v>
      </c>
      <c r="I15" s="35">
        <v>2</v>
      </c>
      <c r="J15" s="34" t="s">
        <v>16176</v>
      </c>
      <c r="K15" s="35"/>
      <c r="L15" s="34" t="s">
        <v>16098</v>
      </c>
      <c r="M15" s="35" t="s">
        <v>9</v>
      </c>
      <c r="N15" s="34" t="s">
        <v>16177</v>
      </c>
      <c r="O15" s="35" t="s">
        <v>816</v>
      </c>
      <c r="P15" s="35" t="s">
        <v>669</v>
      </c>
    </row>
    <row r="16" spans="1:16" ht="13.2" customHeight="1" x14ac:dyDescent="0.25">
      <c r="A16" s="35">
        <v>14</v>
      </c>
      <c r="B16" s="34" t="s">
        <v>16178</v>
      </c>
      <c r="C16" s="35"/>
      <c r="D16" s="34" t="s">
        <v>16153</v>
      </c>
      <c r="E16" s="34" t="s">
        <v>16155</v>
      </c>
      <c r="F16" s="34" t="s">
        <v>16154</v>
      </c>
      <c r="G16" s="34" t="s">
        <v>16179</v>
      </c>
      <c r="H16" s="34" t="s">
        <v>15013</v>
      </c>
      <c r="I16" s="35">
        <v>1</v>
      </c>
      <c r="J16" s="34" t="s">
        <v>16180</v>
      </c>
      <c r="K16" s="35"/>
      <c r="L16" s="34" t="s">
        <v>16098</v>
      </c>
      <c r="M16" s="35" t="s">
        <v>9</v>
      </c>
      <c r="N16" s="34" t="s">
        <v>16181</v>
      </c>
      <c r="O16" s="35" t="s">
        <v>816</v>
      </c>
      <c r="P16" s="35" t="s">
        <v>669</v>
      </c>
    </row>
    <row r="17" spans="1:16" ht="13.2" customHeight="1" x14ac:dyDescent="0.25">
      <c r="A17" s="35">
        <v>15</v>
      </c>
      <c r="B17" s="34" t="s">
        <v>16182</v>
      </c>
      <c r="C17" s="35"/>
      <c r="D17" s="34" t="s">
        <v>16183</v>
      </c>
      <c r="E17" s="34" t="s">
        <v>16184</v>
      </c>
      <c r="F17" s="34" t="s">
        <v>16185</v>
      </c>
      <c r="G17" s="34" t="s">
        <v>16186</v>
      </c>
      <c r="H17" s="34" t="s">
        <v>16187</v>
      </c>
      <c r="I17" s="35">
        <v>1</v>
      </c>
      <c r="J17" s="34" t="s">
        <v>16188</v>
      </c>
      <c r="K17" s="35"/>
      <c r="L17" s="34" t="s">
        <v>16189</v>
      </c>
      <c r="M17" s="35" t="s">
        <v>9</v>
      </c>
      <c r="N17" s="34" t="s">
        <v>16190</v>
      </c>
      <c r="O17" s="35" t="s">
        <v>816</v>
      </c>
      <c r="P17" s="35" t="s">
        <v>669</v>
      </c>
    </row>
    <row r="18" spans="1:16" ht="13.2" customHeight="1" x14ac:dyDescent="0.25">
      <c r="A18" s="35">
        <v>16</v>
      </c>
      <c r="B18" s="34" t="s">
        <v>16191</v>
      </c>
      <c r="C18" s="35"/>
      <c r="D18" s="34" t="s">
        <v>16192</v>
      </c>
      <c r="E18" s="34" t="s">
        <v>16193</v>
      </c>
      <c r="F18" s="34" t="s">
        <v>14925</v>
      </c>
      <c r="G18" s="34" t="s">
        <v>14922</v>
      </c>
      <c r="H18" s="34" t="s">
        <v>14921</v>
      </c>
      <c r="I18" s="35">
        <v>3</v>
      </c>
      <c r="J18" s="34" t="s">
        <v>16194</v>
      </c>
      <c r="K18" s="35"/>
      <c r="L18" s="34" t="s">
        <v>16098</v>
      </c>
      <c r="M18" s="35" t="s">
        <v>9</v>
      </c>
      <c r="N18" s="34" t="s">
        <v>16195</v>
      </c>
      <c r="O18" s="35" t="s">
        <v>816</v>
      </c>
      <c r="P18" s="35" t="s">
        <v>669</v>
      </c>
    </row>
    <row r="19" spans="1:16" ht="13.2" customHeight="1" x14ac:dyDescent="0.25">
      <c r="A19" s="35">
        <v>17</v>
      </c>
      <c r="B19" s="34" t="s">
        <v>16196</v>
      </c>
      <c r="C19" s="35"/>
      <c r="D19" s="34" t="s">
        <v>16197</v>
      </c>
      <c r="E19" s="34" t="s">
        <v>16198</v>
      </c>
      <c r="F19" s="34" t="s">
        <v>16199</v>
      </c>
      <c r="G19" s="34" t="s">
        <v>9917</v>
      </c>
      <c r="H19" s="34" t="s">
        <v>781</v>
      </c>
      <c r="I19" s="35">
        <v>3</v>
      </c>
      <c r="J19" s="34" t="s">
        <v>16200</v>
      </c>
      <c r="K19" s="35"/>
      <c r="L19" s="34" t="s">
        <v>16098</v>
      </c>
      <c r="M19" s="35" t="s">
        <v>9</v>
      </c>
      <c r="N19" s="34" t="s">
        <v>16201</v>
      </c>
      <c r="O19" s="35" t="s">
        <v>816</v>
      </c>
      <c r="P19" s="35" t="s">
        <v>669</v>
      </c>
    </row>
    <row r="20" spans="1:16" ht="13.2" customHeight="1" x14ac:dyDescent="0.25">
      <c r="A20" s="35">
        <v>18</v>
      </c>
      <c r="B20" s="34" t="s">
        <v>16202</v>
      </c>
      <c r="C20" s="35"/>
      <c r="D20" s="34" t="s">
        <v>16203</v>
      </c>
      <c r="E20" s="34" t="s">
        <v>16204</v>
      </c>
      <c r="F20" s="34" t="s">
        <v>16205</v>
      </c>
      <c r="G20" s="34" t="s">
        <v>16206</v>
      </c>
      <c r="H20" s="34" t="s">
        <v>16207</v>
      </c>
      <c r="I20" s="35">
        <v>2</v>
      </c>
      <c r="J20" s="34" t="s">
        <v>16208</v>
      </c>
      <c r="K20" s="35"/>
      <c r="L20" s="34" t="s">
        <v>16209</v>
      </c>
      <c r="M20" s="35" t="s">
        <v>9</v>
      </c>
      <c r="N20" s="34" t="s">
        <v>16210</v>
      </c>
      <c r="O20" s="35" t="s">
        <v>816</v>
      </c>
      <c r="P20" s="35" t="s">
        <v>669</v>
      </c>
    </row>
    <row r="21" spans="1:16" ht="13.2" customHeight="1" x14ac:dyDescent="0.25">
      <c r="A21" s="35">
        <v>19</v>
      </c>
      <c r="B21" s="34" t="s">
        <v>16211</v>
      </c>
      <c r="C21" s="35"/>
      <c r="D21" s="34" t="s">
        <v>16212</v>
      </c>
      <c r="E21" s="34" t="s">
        <v>15696</v>
      </c>
      <c r="F21" s="34" t="s">
        <v>16213</v>
      </c>
      <c r="G21" s="34" t="s">
        <v>16214</v>
      </c>
      <c r="H21" s="34" t="s">
        <v>16215</v>
      </c>
      <c r="I21" s="35">
        <v>3</v>
      </c>
      <c r="J21" s="34" t="s">
        <v>16216</v>
      </c>
      <c r="K21" s="35"/>
      <c r="L21" s="34" t="s">
        <v>16145</v>
      </c>
      <c r="M21" s="35" t="s">
        <v>9</v>
      </c>
      <c r="N21" s="34" t="s">
        <v>16217</v>
      </c>
      <c r="O21" s="35" t="s">
        <v>816</v>
      </c>
      <c r="P21" s="35" t="s">
        <v>669</v>
      </c>
    </row>
    <row r="22" spans="1:16" ht="13.2" customHeight="1" x14ac:dyDescent="0.25">
      <c r="A22" s="35">
        <v>20</v>
      </c>
      <c r="B22" s="34" t="s">
        <v>16218</v>
      </c>
      <c r="C22" s="35"/>
      <c r="D22" s="34" t="s">
        <v>16219</v>
      </c>
      <c r="E22" s="34" t="s">
        <v>16220</v>
      </c>
      <c r="F22" s="34" t="s">
        <v>16221</v>
      </c>
      <c r="G22" s="34" t="s">
        <v>16222</v>
      </c>
      <c r="H22" s="34" t="s">
        <v>16223</v>
      </c>
      <c r="I22" s="35">
        <v>5</v>
      </c>
      <c r="J22" s="34" t="s">
        <v>16224</v>
      </c>
      <c r="K22" s="35"/>
      <c r="L22" s="34" t="s">
        <v>16098</v>
      </c>
      <c r="M22" s="35" t="s">
        <v>9</v>
      </c>
      <c r="N22" s="34" t="s">
        <v>16225</v>
      </c>
      <c r="O22" s="35" t="s">
        <v>816</v>
      </c>
      <c r="P22" s="35" t="s">
        <v>669</v>
      </c>
    </row>
    <row r="23" spans="1:16" ht="13.2" customHeight="1" x14ac:dyDescent="0.25">
      <c r="A23" s="35">
        <v>21</v>
      </c>
      <c r="B23" s="34" t="s">
        <v>16226</v>
      </c>
      <c r="C23" s="35"/>
      <c r="D23" s="34">
        <v>44.44</v>
      </c>
      <c r="E23" s="34">
        <v>75.88</v>
      </c>
      <c r="F23" s="34">
        <v>80.58</v>
      </c>
      <c r="G23" s="34">
        <v>85</v>
      </c>
      <c r="H23" s="34">
        <v>88.89</v>
      </c>
      <c r="I23" s="35">
        <v>5</v>
      </c>
      <c r="J23" s="34" t="s">
        <v>16227</v>
      </c>
      <c r="K23" s="35"/>
      <c r="L23" s="34" t="s">
        <v>16098</v>
      </c>
      <c r="M23" s="35" t="s">
        <v>9</v>
      </c>
      <c r="N23" s="34" t="s">
        <v>16228</v>
      </c>
      <c r="O23" s="35" t="s">
        <v>816</v>
      </c>
      <c r="P23" s="35" t="s">
        <v>669</v>
      </c>
    </row>
    <row r="24" spans="1:16" ht="13.2" customHeight="1" x14ac:dyDescent="0.25">
      <c r="A24" s="35">
        <v>22</v>
      </c>
      <c r="B24" s="34" t="s">
        <v>16229</v>
      </c>
      <c r="C24" s="35"/>
      <c r="D24" s="34" t="s">
        <v>16230</v>
      </c>
      <c r="E24" s="34" t="s">
        <v>16231</v>
      </c>
      <c r="F24" s="34" t="s">
        <v>16232</v>
      </c>
      <c r="G24" s="34" t="s">
        <v>16233</v>
      </c>
      <c r="H24" s="34" t="s">
        <v>16234</v>
      </c>
      <c r="I24" s="35">
        <v>3</v>
      </c>
      <c r="J24" s="34" t="s">
        <v>16235</v>
      </c>
      <c r="K24" s="35"/>
      <c r="L24" s="34" t="s">
        <v>16098</v>
      </c>
      <c r="M24" s="35" t="s">
        <v>9</v>
      </c>
      <c r="N24" s="34" t="s">
        <v>16236</v>
      </c>
      <c r="O24" s="35" t="s">
        <v>816</v>
      </c>
      <c r="P24" s="35" t="s">
        <v>669</v>
      </c>
    </row>
    <row r="25" spans="1:16" ht="13.2" customHeight="1" x14ac:dyDescent="0.25">
      <c r="A25" s="35">
        <v>23</v>
      </c>
      <c r="B25" s="34" t="s">
        <v>16237</v>
      </c>
      <c r="C25" s="35"/>
      <c r="D25" s="34" t="s">
        <v>16238</v>
      </c>
      <c r="E25" s="34" t="s">
        <v>16239</v>
      </c>
      <c r="F25" s="34" t="s">
        <v>16240</v>
      </c>
      <c r="G25" s="34" t="s">
        <v>16241</v>
      </c>
      <c r="H25" s="34" t="s">
        <v>16242</v>
      </c>
      <c r="I25" s="35">
        <v>4</v>
      </c>
      <c r="J25" s="34" t="s">
        <v>16243</v>
      </c>
      <c r="K25" s="35"/>
      <c r="L25" s="34" t="s">
        <v>16098</v>
      </c>
      <c r="M25" s="35" t="s">
        <v>9</v>
      </c>
      <c r="N25" s="34" t="s">
        <v>16244</v>
      </c>
      <c r="O25" s="35" t="s">
        <v>816</v>
      </c>
      <c r="P25" s="35" t="s">
        <v>669</v>
      </c>
    </row>
    <row r="26" spans="1:16" ht="13.2" customHeight="1" x14ac:dyDescent="0.25">
      <c r="A26" s="35">
        <v>24</v>
      </c>
      <c r="B26" s="34" t="s">
        <v>16245</v>
      </c>
      <c r="C26" s="35"/>
      <c r="D26" s="34" t="s">
        <v>16246</v>
      </c>
      <c r="E26" s="34" t="s">
        <v>16247</v>
      </c>
      <c r="F26" s="34" t="s">
        <v>16248</v>
      </c>
      <c r="G26" s="34" t="s">
        <v>16249</v>
      </c>
      <c r="H26" s="34" t="s">
        <v>16250</v>
      </c>
      <c r="I26" s="35">
        <v>3</v>
      </c>
      <c r="J26" s="34" t="s">
        <v>16251</v>
      </c>
      <c r="K26" s="35"/>
      <c r="L26" s="34" t="s">
        <v>16098</v>
      </c>
      <c r="M26" s="35" t="s">
        <v>9</v>
      </c>
      <c r="N26" s="34" t="s">
        <v>16252</v>
      </c>
      <c r="O26" s="35" t="s">
        <v>816</v>
      </c>
      <c r="P26" s="35" t="s">
        <v>669</v>
      </c>
    </row>
    <row r="27" spans="1:16" ht="13.2" customHeight="1" x14ac:dyDescent="0.25">
      <c r="A27" s="35">
        <v>25</v>
      </c>
      <c r="B27" s="34" t="s">
        <v>16253</v>
      </c>
      <c r="C27" s="35"/>
      <c r="D27" s="34" t="s">
        <v>16254</v>
      </c>
      <c r="E27" s="34" t="s">
        <v>16255</v>
      </c>
      <c r="F27" s="34" t="s">
        <v>14922</v>
      </c>
      <c r="G27" s="34" t="s">
        <v>16256</v>
      </c>
      <c r="H27" s="34" t="s">
        <v>16257</v>
      </c>
      <c r="I27" s="35">
        <v>4</v>
      </c>
      <c r="J27" s="34" t="s">
        <v>16258</v>
      </c>
      <c r="K27" s="35"/>
      <c r="L27" s="34" t="s">
        <v>16098</v>
      </c>
      <c r="M27" s="35" t="s">
        <v>9</v>
      </c>
      <c r="N27" s="34" t="s">
        <v>16259</v>
      </c>
      <c r="O27" s="35" t="s">
        <v>816</v>
      </c>
      <c r="P27" s="35" t="s">
        <v>669</v>
      </c>
    </row>
    <row r="28" spans="1:16" ht="13.2" customHeight="1" x14ac:dyDescent="0.25">
      <c r="A28" s="35">
        <v>26</v>
      </c>
      <c r="B28" s="34" t="s">
        <v>16260</v>
      </c>
      <c r="C28" s="35"/>
      <c r="D28" s="34" t="s">
        <v>16261</v>
      </c>
      <c r="E28" s="34" t="s">
        <v>16262</v>
      </c>
      <c r="F28" s="34" t="s">
        <v>16263</v>
      </c>
      <c r="G28" s="34" t="s">
        <v>16264</v>
      </c>
      <c r="H28" s="34" t="s">
        <v>16265</v>
      </c>
      <c r="I28" s="35">
        <v>4</v>
      </c>
      <c r="J28" s="34" t="s">
        <v>16266</v>
      </c>
      <c r="K28" s="35"/>
      <c r="L28" s="34" t="s">
        <v>16098</v>
      </c>
      <c r="M28" s="35" t="s">
        <v>9</v>
      </c>
      <c r="N28" s="34" t="s">
        <v>16267</v>
      </c>
      <c r="O28" s="35" t="s">
        <v>816</v>
      </c>
      <c r="P28" s="35" t="s">
        <v>669</v>
      </c>
    </row>
    <row r="29" spans="1:16" ht="13.2" customHeight="1" x14ac:dyDescent="0.25">
      <c r="A29" s="35">
        <v>27</v>
      </c>
      <c r="B29" s="34" t="s">
        <v>16268</v>
      </c>
      <c r="C29" s="35"/>
      <c r="D29" s="34" t="s">
        <v>15608</v>
      </c>
      <c r="E29" s="34" t="s">
        <v>16269</v>
      </c>
      <c r="F29" s="34" t="s">
        <v>16270</v>
      </c>
      <c r="G29" s="34" t="s">
        <v>16271</v>
      </c>
      <c r="H29" s="34" t="s">
        <v>16272</v>
      </c>
      <c r="I29" s="35">
        <v>1</v>
      </c>
      <c r="J29" s="34" t="s">
        <v>16273</v>
      </c>
      <c r="K29" s="35"/>
      <c r="L29" s="34" t="s">
        <v>16274</v>
      </c>
      <c r="M29" s="35" t="s">
        <v>9</v>
      </c>
      <c r="N29" s="34" t="s">
        <v>16275</v>
      </c>
      <c r="O29" s="35" t="s">
        <v>816</v>
      </c>
      <c r="P29" s="35" t="s">
        <v>669</v>
      </c>
    </row>
    <row r="30" spans="1:16" ht="13.2" customHeight="1" x14ac:dyDescent="0.25">
      <c r="A30" s="35">
        <v>28</v>
      </c>
      <c r="B30" s="34" t="s">
        <v>16276</v>
      </c>
      <c r="C30" s="35"/>
      <c r="D30" s="34" t="s">
        <v>16277</v>
      </c>
      <c r="E30" s="34" t="s">
        <v>16278</v>
      </c>
      <c r="F30" s="34" t="s">
        <v>16279</v>
      </c>
      <c r="G30" s="34" t="s">
        <v>16280</v>
      </c>
      <c r="H30" s="34" t="s">
        <v>16281</v>
      </c>
      <c r="I30" s="35">
        <v>2</v>
      </c>
      <c r="J30" s="34" t="s">
        <v>16282</v>
      </c>
      <c r="K30" s="35"/>
      <c r="L30" s="34" t="s">
        <v>16098</v>
      </c>
      <c r="M30" s="35" t="s">
        <v>9</v>
      </c>
      <c r="N30" s="34" t="s">
        <v>16283</v>
      </c>
      <c r="O30" s="35" t="s">
        <v>816</v>
      </c>
      <c r="P30" s="35" t="s">
        <v>669</v>
      </c>
    </row>
    <row r="31" spans="1:16" ht="13.2" customHeight="1" x14ac:dyDescent="0.25">
      <c r="A31" s="35">
        <v>29</v>
      </c>
      <c r="B31" s="34" t="s">
        <v>16284</v>
      </c>
      <c r="C31" s="35"/>
      <c r="D31" s="34" t="s">
        <v>2827</v>
      </c>
      <c r="E31" s="34" t="s">
        <v>1902</v>
      </c>
      <c r="F31" s="34" t="s">
        <v>16285</v>
      </c>
      <c r="G31" s="34" t="s">
        <v>1906</v>
      </c>
      <c r="H31" s="34" t="s">
        <v>16286</v>
      </c>
      <c r="I31" s="35">
        <v>2</v>
      </c>
      <c r="J31" s="34" t="s">
        <v>16287</v>
      </c>
      <c r="K31" s="35"/>
      <c r="L31" s="34" t="s">
        <v>16098</v>
      </c>
      <c r="M31" s="35" t="s">
        <v>9</v>
      </c>
      <c r="N31" s="34" t="s">
        <v>16288</v>
      </c>
      <c r="O31" s="35" t="s">
        <v>816</v>
      </c>
      <c r="P31" s="35" t="s">
        <v>669</v>
      </c>
    </row>
    <row r="32" spans="1:16" ht="13.2" customHeight="1" x14ac:dyDescent="0.25">
      <c r="A32" s="35">
        <v>30</v>
      </c>
      <c r="B32" s="34" t="s">
        <v>16289</v>
      </c>
      <c r="C32" s="35"/>
      <c r="D32" s="34" t="s">
        <v>16290</v>
      </c>
      <c r="E32" s="34" t="s">
        <v>16291</v>
      </c>
      <c r="F32" s="34" t="s">
        <v>16292</v>
      </c>
      <c r="G32" s="34" t="s">
        <v>16293</v>
      </c>
      <c r="H32" s="34" t="s">
        <v>16294</v>
      </c>
      <c r="I32" s="35">
        <v>3</v>
      </c>
      <c r="J32" s="34" t="s">
        <v>16295</v>
      </c>
      <c r="K32" s="35"/>
      <c r="L32" s="34" t="s">
        <v>16098</v>
      </c>
      <c r="M32" s="35" t="s">
        <v>9</v>
      </c>
      <c r="N32" s="34" t="s">
        <v>16296</v>
      </c>
      <c r="O32" s="35" t="s">
        <v>816</v>
      </c>
      <c r="P32" s="35" t="s">
        <v>669</v>
      </c>
    </row>
    <row r="33" spans="1:16" ht="13.2" customHeight="1" x14ac:dyDescent="0.25">
      <c r="A33" s="35">
        <v>31</v>
      </c>
      <c r="B33" s="34" t="s">
        <v>16297</v>
      </c>
      <c r="C33" s="35"/>
      <c r="D33" s="34" t="s">
        <v>16298</v>
      </c>
      <c r="E33" s="34" t="s">
        <v>16154</v>
      </c>
      <c r="F33" s="34" t="s">
        <v>9781</v>
      </c>
      <c r="G33" s="34" t="s">
        <v>16299</v>
      </c>
      <c r="H33" s="34" t="s">
        <v>16300</v>
      </c>
      <c r="I33" s="35">
        <v>5</v>
      </c>
      <c r="J33" s="34" t="s">
        <v>16301</v>
      </c>
      <c r="K33" s="35"/>
      <c r="L33" s="34" t="s">
        <v>16098</v>
      </c>
      <c r="M33" s="35" t="s">
        <v>9</v>
      </c>
      <c r="N33" s="34" t="s">
        <v>16302</v>
      </c>
      <c r="O33" s="35" t="s">
        <v>816</v>
      </c>
      <c r="P33" s="35" t="s">
        <v>669</v>
      </c>
    </row>
    <row r="34" spans="1:16" ht="13.2" customHeight="1" x14ac:dyDescent="0.25">
      <c r="A34" s="35">
        <v>32</v>
      </c>
      <c r="B34" s="34" t="s">
        <v>16303</v>
      </c>
      <c r="C34" s="35"/>
      <c r="D34" s="34" t="s">
        <v>16304</v>
      </c>
      <c r="E34" s="34" t="s">
        <v>16305</v>
      </c>
      <c r="F34" s="34" t="s">
        <v>16306</v>
      </c>
      <c r="G34" s="34" t="s">
        <v>16307</v>
      </c>
      <c r="H34" s="34" t="s">
        <v>16308</v>
      </c>
      <c r="I34" s="35">
        <v>5</v>
      </c>
      <c r="J34" s="34" t="s">
        <v>16309</v>
      </c>
      <c r="K34" s="35"/>
      <c r="L34" s="34" t="s">
        <v>16098</v>
      </c>
      <c r="M34" s="35" t="s">
        <v>9</v>
      </c>
      <c r="N34" s="34" t="s">
        <v>16310</v>
      </c>
      <c r="O34" s="35" t="s">
        <v>816</v>
      </c>
      <c r="P34" s="35" t="s">
        <v>669</v>
      </c>
    </row>
    <row r="35" spans="1:16" ht="13.2" customHeight="1" x14ac:dyDescent="0.25">
      <c r="A35" s="35">
        <v>33</v>
      </c>
      <c r="B35" s="34" t="s">
        <v>16311</v>
      </c>
      <c r="C35" s="35"/>
      <c r="D35" s="34" t="s">
        <v>15739</v>
      </c>
      <c r="E35" s="34" t="s">
        <v>16312</v>
      </c>
      <c r="F35" s="34" t="s">
        <v>16313</v>
      </c>
      <c r="G35" s="34" t="s">
        <v>16314</v>
      </c>
      <c r="H35" s="34" t="s">
        <v>16315</v>
      </c>
      <c r="I35" s="35">
        <v>1</v>
      </c>
      <c r="J35" s="34" t="s">
        <v>16316</v>
      </c>
      <c r="K35" s="35"/>
      <c r="L35" s="34" t="s">
        <v>16189</v>
      </c>
      <c r="M35" s="35" t="s">
        <v>9</v>
      </c>
      <c r="N35" s="34" t="s">
        <v>16317</v>
      </c>
      <c r="O35" s="35" t="s">
        <v>816</v>
      </c>
      <c r="P35" s="35" t="s">
        <v>669</v>
      </c>
    </row>
    <row r="36" spans="1:16" ht="13.2" customHeight="1" x14ac:dyDescent="0.25">
      <c r="A36" s="35">
        <v>34</v>
      </c>
      <c r="B36" s="34" t="s">
        <v>16318</v>
      </c>
      <c r="C36" s="35"/>
      <c r="D36" s="34" t="s">
        <v>16319</v>
      </c>
      <c r="E36" s="34" t="s">
        <v>16320</v>
      </c>
      <c r="F36" s="34" t="s">
        <v>16321</v>
      </c>
      <c r="G36" s="34" t="s">
        <v>16322</v>
      </c>
      <c r="H36" s="34" t="s">
        <v>16323</v>
      </c>
      <c r="I36" s="35">
        <v>1</v>
      </c>
      <c r="J36" s="34" t="s">
        <v>16324</v>
      </c>
      <c r="K36" s="35"/>
      <c r="L36" s="34" t="s">
        <v>16098</v>
      </c>
      <c r="M36" s="35" t="s">
        <v>9</v>
      </c>
      <c r="N36" s="34" t="s">
        <v>16325</v>
      </c>
      <c r="O36" s="35" t="s">
        <v>816</v>
      </c>
      <c r="P36" s="35" t="s">
        <v>669</v>
      </c>
    </row>
    <row r="37" spans="1:16" ht="13.2" customHeight="1" x14ac:dyDescent="0.25">
      <c r="A37" s="35">
        <v>35</v>
      </c>
      <c r="B37" s="34" t="s">
        <v>16326</v>
      </c>
      <c r="C37" s="35"/>
      <c r="D37" s="34" t="s">
        <v>16327</v>
      </c>
      <c r="E37" s="34" t="s">
        <v>16328</v>
      </c>
      <c r="F37" s="34" t="s">
        <v>16329</v>
      </c>
      <c r="G37" s="34" t="s">
        <v>16330</v>
      </c>
      <c r="H37" s="34" t="s">
        <v>16331</v>
      </c>
      <c r="I37" s="35">
        <v>5</v>
      </c>
      <c r="J37" s="34" t="s">
        <v>16332</v>
      </c>
      <c r="K37" s="35"/>
      <c r="L37" s="34" t="s">
        <v>16098</v>
      </c>
      <c r="M37" s="35" t="s">
        <v>9</v>
      </c>
      <c r="N37" s="34" t="s">
        <v>16333</v>
      </c>
      <c r="O37" s="35" t="s">
        <v>816</v>
      </c>
      <c r="P37" s="35" t="s">
        <v>669</v>
      </c>
    </row>
    <row r="38" spans="1:16" ht="13.2" customHeight="1" x14ac:dyDescent="0.25">
      <c r="A38" s="35">
        <v>36</v>
      </c>
      <c r="B38" s="34" t="s">
        <v>16334</v>
      </c>
      <c r="C38" s="35"/>
      <c r="D38" s="34" t="s">
        <v>16335</v>
      </c>
      <c r="E38" s="34" t="s">
        <v>9825</v>
      </c>
      <c r="F38" s="34" t="s">
        <v>16336</v>
      </c>
      <c r="G38" s="34" t="s">
        <v>16337</v>
      </c>
      <c r="H38" s="34" t="s">
        <v>12303</v>
      </c>
      <c r="I38" s="35">
        <v>1</v>
      </c>
      <c r="J38" s="34" t="s">
        <v>16338</v>
      </c>
      <c r="K38" s="35"/>
      <c r="L38" s="34" t="s">
        <v>16274</v>
      </c>
      <c r="M38" s="35" t="s">
        <v>9</v>
      </c>
      <c r="N38" s="34" t="s">
        <v>16339</v>
      </c>
      <c r="O38" s="35" t="s">
        <v>816</v>
      </c>
      <c r="P38" s="35" t="s">
        <v>669</v>
      </c>
    </row>
    <row r="39" spans="1:16" ht="13.2" customHeight="1" x14ac:dyDescent="0.25">
      <c r="A39" s="35">
        <v>37</v>
      </c>
      <c r="B39" s="34" t="s">
        <v>16340</v>
      </c>
      <c r="C39" s="35"/>
      <c r="D39" s="34" t="s">
        <v>16341</v>
      </c>
      <c r="E39" s="34" t="s">
        <v>16342</v>
      </c>
      <c r="F39" s="34" t="s">
        <v>16343</v>
      </c>
      <c r="G39" s="34" t="s">
        <v>16344</v>
      </c>
      <c r="H39" s="34" t="s">
        <v>16345</v>
      </c>
      <c r="I39" s="35">
        <v>5</v>
      </c>
      <c r="J39" s="34" t="s">
        <v>16346</v>
      </c>
      <c r="K39" s="35"/>
      <c r="L39" s="34" t="s">
        <v>16274</v>
      </c>
      <c r="M39" s="35" t="s">
        <v>9</v>
      </c>
      <c r="N39" s="34" t="s">
        <v>16347</v>
      </c>
      <c r="O39" s="35" t="s">
        <v>816</v>
      </c>
      <c r="P39" s="35" t="s">
        <v>669</v>
      </c>
    </row>
    <row r="40" spans="1:16" ht="13.2" customHeight="1" x14ac:dyDescent="0.25">
      <c r="A40" s="35">
        <v>38</v>
      </c>
      <c r="B40" s="34" t="s">
        <v>16348</v>
      </c>
      <c r="C40" s="35"/>
      <c r="D40" s="34" t="s">
        <v>16349</v>
      </c>
      <c r="E40" s="34" t="s">
        <v>16350</v>
      </c>
      <c r="F40" s="34" t="s">
        <v>16351</v>
      </c>
      <c r="G40" s="34" t="s">
        <v>16352</v>
      </c>
      <c r="H40" s="34" t="s">
        <v>16353</v>
      </c>
      <c r="I40" s="35">
        <v>1</v>
      </c>
      <c r="J40" s="34" t="s">
        <v>16354</v>
      </c>
      <c r="K40" s="35"/>
      <c r="L40" s="34" t="s">
        <v>16098</v>
      </c>
      <c r="M40" s="35" t="s">
        <v>9</v>
      </c>
      <c r="N40" s="34" t="s">
        <v>16355</v>
      </c>
      <c r="O40" s="35" t="s">
        <v>816</v>
      </c>
      <c r="P40" s="35" t="s">
        <v>669</v>
      </c>
    </row>
    <row r="41" spans="1:16" ht="13.2" customHeight="1" x14ac:dyDescent="0.25">
      <c r="A41" s="35">
        <v>39</v>
      </c>
      <c r="B41" s="34" t="s">
        <v>16356</v>
      </c>
      <c r="C41" s="35"/>
      <c r="D41" s="34" t="s">
        <v>16357</v>
      </c>
      <c r="E41" s="34" t="s">
        <v>16358</v>
      </c>
      <c r="F41" s="34" t="s">
        <v>16359</v>
      </c>
      <c r="G41" s="34" t="s">
        <v>16360</v>
      </c>
      <c r="H41" s="34" t="s">
        <v>16361</v>
      </c>
      <c r="I41" s="35">
        <v>1</v>
      </c>
      <c r="J41" s="34" t="s">
        <v>16362</v>
      </c>
      <c r="K41" s="35"/>
      <c r="L41" s="34" t="s">
        <v>16098</v>
      </c>
      <c r="M41" s="35" t="s">
        <v>9</v>
      </c>
      <c r="N41" s="34" t="s">
        <v>16363</v>
      </c>
      <c r="O41" s="35" t="s">
        <v>816</v>
      </c>
      <c r="P41" s="35" t="s">
        <v>669</v>
      </c>
    </row>
    <row r="42" spans="1:16" ht="13.2" customHeight="1" x14ac:dyDescent="0.25">
      <c r="A42" s="35">
        <v>40</v>
      </c>
      <c r="B42" s="34" t="s">
        <v>16364</v>
      </c>
      <c r="C42" s="35"/>
      <c r="D42" s="34" t="s">
        <v>9809</v>
      </c>
      <c r="E42" s="34" t="s">
        <v>16365</v>
      </c>
      <c r="F42" s="34" t="s">
        <v>9781</v>
      </c>
      <c r="G42" s="34" t="s">
        <v>16366</v>
      </c>
      <c r="H42" s="34" t="s">
        <v>16367</v>
      </c>
      <c r="I42" s="35">
        <v>2</v>
      </c>
      <c r="J42" s="34" t="s">
        <v>16368</v>
      </c>
      <c r="K42" s="35"/>
      <c r="L42" s="34" t="s">
        <v>16098</v>
      </c>
      <c r="M42" s="35" t="s">
        <v>9</v>
      </c>
      <c r="N42" s="34" t="s">
        <v>16369</v>
      </c>
      <c r="O42" s="35" t="s">
        <v>816</v>
      </c>
      <c r="P42" s="35" t="s">
        <v>669</v>
      </c>
    </row>
    <row r="43" spans="1:16" ht="13.2" customHeight="1" x14ac:dyDescent="0.25">
      <c r="A43" s="35">
        <v>41</v>
      </c>
      <c r="B43" s="34" t="s">
        <v>16370</v>
      </c>
      <c r="C43" s="35"/>
      <c r="D43" s="34" t="s">
        <v>16371</v>
      </c>
      <c r="E43" s="34" t="s">
        <v>16372</v>
      </c>
      <c r="F43" s="34" t="s">
        <v>16373</v>
      </c>
      <c r="G43" s="34" t="s">
        <v>16374</v>
      </c>
      <c r="H43" s="34" t="s">
        <v>16375</v>
      </c>
      <c r="I43" s="35">
        <v>3</v>
      </c>
      <c r="J43" s="34" t="s">
        <v>16376</v>
      </c>
      <c r="K43" s="35"/>
      <c r="L43" s="34" t="s">
        <v>16098</v>
      </c>
      <c r="M43" s="35" t="s">
        <v>9</v>
      </c>
      <c r="N43" s="34" t="s">
        <v>16377</v>
      </c>
      <c r="O43" s="35" t="s">
        <v>816</v>
      </c>
      <c r="P43" s="35" t="s">
        <v>669</v>
      </c>
    </row>
    <row r="44" spans="1:16" ht="13.2" customHeight="1" x14ac:dyDescent="0.25">
      <c r="A44" s="35">
        <v>42</v>
      </c>
      <c r="B44" s="34" t="s">
        <v>16378</v>
      </c>
      <c r="C44" s="35"/>
      <c r="D44" s="34" t="s">
        <v>16379</v>
      </c>
      <c r="E44" s="34" t="s">
        <v>13959</v>
      </c>
      <c r="F44" s="34" t="s">
        <v>16106</v>
      </c>
      <c r="G44" s="34" t="s">
        <v>16380</v>
      </c>
      <c r="H44" s="34" t="s">
        <v>16381</v>
      </c>
      <c r="I44" s="35">
        <v>1</v>
      </c>
      <c r="J44" s="34" t="s">
        <v>16382</v>
      </c>
      <c r="K44" s="35"/>
      <c r="L44" s="34" t="s">
        <v>16098</v>
      </c>
      <c r="M44" s="35" t="s">
        <v>9</v>
      </c>
      <c r="N44" s="34" t="s">
        <v>16383</v>
      </c>
      <c r="O44" s="35" t="s">
        <v>816</v>
      </c>
      <c r="P44" s="35" t="s">
        <v>669</v>
      </c>
    </row>
    <row r="45" spans="1:16" ht="13.2" customHeight="1" x14ac:dyDescent="0.25">
      <c r="A45" s="35">
        <v>43</v>
      </c>
      <c r="B45" s="34" t="s">
        <v>16384</v>
      </c>
      <c r="C45" s="35"/>
      <c r="D45" s="34" t="s">
        <v>16379</v>
      </c>
      <c r="E45" s="34" t="s">
        <v>1904</v>
      </c>
      <c r="F45" s="34" t="s">
        <v>13959</v>
      </c>
      <c r="G45" s="34" t="s">
        <v>16385</v>
      </c>
      <c r="H45" s="34" t="s">
        <v>16386</v>
      </c>
      <c r="I45" s="35">
        <v>1</v>
      </c>
      <c r="J45" s="34" t="s">
        <v>16387</v>
      </c>
      <c r="K45" s="35"/>
      <c r="L45" s="34" t="s">
        <v>16098</v>
      </c>
      <c r="M45" s="35" t="s">
        <v>9</v>
      </c>
      <c r="N45" s="34" t="s">
        <v>16388</v>
      </c>
      <c r="O45" s="35" t="s">
        <v>816</v>
      </c>
      <c r="P45" s="35" t="s">
        <v>669</v>
      </c>
    </row>
    <row r="46" spans="1:16" ht="13.2" customHeight="1" x14ac:dyDescent="0.25">
      <c r="A46" s="35">
        <v>44</v>
      </c>
      <c r="B46" s="34" t="s">
        <v>16389</v>
      </c>
      <c r="C46" s="35"/>
      <c r="D46" s="34" t="s">
        <v>16390</v>
      </c>
      <c r="E46" s="34" t="s">
        <v>15696</v>
      </c>
      <c r="F46" s="34" t="s">
        <v>13049</v>
      </c>
      <c r="G46" s="34" t="s">
        <v>16391</v>
      </c>
      <c r="H46" s="34" t="s">
        <v>16392</v>
      </c>
      <c r="I46" s="35">
        <v>2</v>
      </c>
      <c r="J46" s="34" t="s">
        <v>16393</v>
      </c>
      <c r="K46" s="35"/>
      <c r="L46" s="34" t="s">
        <v>16098</v>
      </c>
      <c r="M46" s="35" t="s">
        <v>9</v>
      </c>
      <c r="N46" s="34" t="s">
        <v>16394</v>
      </c>
      <c r="O46" s="35" t="s">
        <v>816</v>
      </c>
      <c r="P46" s="35" t="s">
        <v>669</v>
      </c>
    </row>
    <row r="47" spans="1:16" ht="13.2" customHeight="1" x14ac:dyDescent="0.25">
      <c r="A47" s="35">
        <v>45</v>
      </c>
      <c r="B47" s="34" t="s">
        <v>16395</v>
      </c>
      <c r="C47" s="35"/>
      <c r="D47" s="34" t="s">
        <v>16396</v>
      </c>
      <c r="E47" s="34" t="s">
        <v>16397</v>
      </c>
      <c r="F47" s="34" t="s">
        <v>16398</v>
      </c>
      <c r="G47" s="34" t="s">
        <v>16399</v>
      </c>
      <c r="H47" s="34" t="s">
        <v>16400</v>
      </c>
      <c r="I47" s="35">
        <v>4</v>
      </c>
      <c r="J47" s="34" t="s">
        <v>16401</v>
      </c>
      <c r="K47" s="35"/>
      <c r="L47" s="34" t="s">
        <v>16098</v>
      </c>
      <c r="M47" s="35" t="s">
        <v>9</v>
      </c>
      <c r="N47" s="34" t="s">
        <v>16402</v>
      </c>
      <c r="O47" s="35" t="s">
        <v>816</v>
      </c>
      <c r="P47" s="35" t="s">
        <v>669</v>
      </c>
    </row>
    <row r="48" spans="1:16" ht="13.2" customHeight="1" x14ac:dyDescent="0.25">
      <c r="A48" s="35">
        <v>46</v>
      </c>
      <c r="B48" s="34" t="s">
        <v>16403</v>
      </c>
      <c r="C48" s="35"/>
      <c r="D48" s="34" t="s">
        <v>16404</v>
      </c>
      <c r="E48" s="34" t="s">
        <v>16405</v>
      </c>
      <c r="F48" s="34" t="s">
        <v>16406</v>
      </c>
      <c r="G48" s="34" t="s">
        <v>16407</v>
      </c>
      <c r="H48" s="34" t="s">
        <v>16408</v>
      </c>
      <c r="I48" s="35">
        <v>4</v>
      </c>
      <c r="J48" s="34" t="s">
        <v>16409</v>
      </c>
      <c r="K48" s="35"/>
      <c r="L48" s="34" t="s">
        <v>16098</v>
      </c>
      <c r="M48" s="35" t="s">
        <v>9</v>
      </c>
      <c r="N48" s="34" t="s">
        <v>16410</v>
      </c>
      <c r="O48" s="35" t="s">
        <v>816</v>
      </c>
      <c r="P48" s="35" t="s">
        <v>669</v>
      </c>
    </row>
    <row r="49" spans="1:16" ht="13.2" customHeight="1" x14ac:dyDescent="0.25">
      <c r="A49" s="35">
        <v>47</v>
      </c>
      <c r="B49" s="34" t="s">
        <v>16411</v>
      </c>
      <c r="C49" s="35"/>
      <c r="D49" s="34" t="s">
        <v>16412</v>
      </c>
      <c r="E49" s="34" t="s">
        <v>14915</v>
      </c>
      <c r="F49" s="34" t="s">
        <v>16413</v>
      </c>
      <c r="G49" s="34" t="s">
        <v>16414</v>
      </c>
      <c r="H49" s="34" t="s">
        <v>16415</v>
      </c>
      <c r="I49" s="35">
        <v>5</v>
      </c>
      <c r="J49" s="34" t="s">
        <v>16416</v>
      </c>
      <c r="K49" s="35"/>
      <c r="L49" s="34" t="s">
        <v>16098</v>
      </c>
      <c r="M49" s="35" t="s">
        <v>9</v>
      </c>
      <c r="N49" s="34" t="s">
        <v>16417</v>
      </c>
      <c r="O49" s="35" t="s">
        <v>816</v>
      </c>
      <c r="P49" s="35" t="s">
        <v>669</v>
      </c>
    </row>
    <row r="50" spans="1:16" ht="13.2" customHeight="1" x14ac:dyDescent="0.25">
      <c r="A50" s="35">
        <v>48</v>
      </c>
      <c r="B50" s="34" t="s">
        <v>16418</v>
      </c>
      <c r="C50" s="35"/>
      <c r="D50" s="34" t="s">
        <v>16419</v>
      </c>
      <c r="E50" s="34" t="s">
        <v>16420</v>
      </c>
      <c r="F50" s="34" t="s">
        <v>16421</v>
      </c>
      <c r="G50" s="34" t="s">
        <v>16422</v>
      </c>
      <c r="H50" s="34" t="s">
        <v>16423</v>
      </c>
      <c r="I50" s="35">
        <v>5</v>
      </c>
      <c r="J50" s="34" t="s">
        <v>16424</v>
      </c>
      <c r="K50" s="35"/>
      <c r="L50" s="34" t="s">
        <v>16209</v>
      </c>
      <c r="M50" s="35" t="s">
        <v>9</v>
      </c>
      <c r="N50" s="34" t="s">
        <v>16425</v>
      </c>
      <c r="O50" s="35" t="s">
        <v>816</v>
      </c>
      <c r="P50" s="35" t="s">
        <v>669</v>
      </c>
    </row>
    <row r="51" spans="1:16" ht="13.2" customHeight="1" x14ac:dyDescent="0.25">
      <c r="A51" s="35">
        <v>49</v>
      </c>
      <c r="B51" s="34" t="s">
        <v>16426</v>
      </c>
      <c r="C51" s="35"/>
      <c r="D51" s="34" t="s">
        <v>16427</v>
      </c>
      <c r="E51" s="34" t="s">
        <v>16428</v>
      </c>
      <c r="F51" s="34" t="s">
        <v>16429</v>
      </c>
      <c r="G51" s="34" t="s">
        <v>16430</v>
      </c>
      <c r="H51" s="34" t="s">
        <v>16431</v>
      </c>
      <c r="I51" s="35">
        <v>4</v>
      </c>
      <c r="J51" s="34" t="s">
        <v>16432</v>
      </c>
      <c r="K51" s="35"/>
      <c r="L51" s="34" t="s">
        <v>16098</v>
      </c>
      <c r="M51" s="35" t="s">
        <v>9</v>
      </c>
      <c r="N51" s="34" t="s">
        <v>16433</v>
      </c>
      <c r="O51" s="35" t="s">
        <v>816</v>
      </c>
      <c r="P51" s="35" t="s">
        <v>669</v>
      </c>
    </row>
    <row r="52" spans="1:16" ht="13.2" customHeight="1" x14ac:dyDescent="0.25">
      <c r="A52" s="35">
        <v>50</v>
      </c>
      <c r="B52" s="34" t="s">
        <v>16434</v>
      </c>
      <c r="C52" s="35"/>
      <c r="D52" s="34" t="s">
        <v>16435</v>
      </c>
      <c r="E52" s="34" t="s">
        <v>16436</v>
      </c>
      <c r="F52" s="34" t="s">
        <v>16437</v>
      </c>
      <c r="G52" s="34" t="s">
        <v>16438</v>
      </c>
      <c r="H52" s="34" t="s">
        <v>16439</v>
      </c>
      <c r="I52" s="35">
        <v>1</v>
      </c>
      <c r="J52" s="34" t="s">
        <v>16440</v>
      </c>
      <c r="K52" s="35"/>
      <c r="L52" s="34" t="s">
        <v>16274</v>
      </c>
      <c r="M52" s="35" t="s">
        <v>9</v>
      </c>
      <c r="N52" s="34" t="s">
        <v>16441</v>
      </c>
      <c r="O52" s="35" t="s">
        <v>816</v>
      </c>
      <c r="P52" s="35" t="s">
        <v>669</v>
      </c>
    </row>
    <row r="53" spans="1:16" ht="13.2" customHeight="1" x14ac:dyDescent="0.25">
      <c r="A53" s="35">
        <v>51</v>
      </c>
      <c r="B53" s="34" t="s">
        <v>16442</v>
      </c>
      <c r="C53" s="35"/>
      <c r="D53" s="34" t="s">
        <v>16443</v>
      </c>
      <c r="E53" s="34" t="s">
        <v>16142</v>
      </c>
      <c r="F53" s="34" t="s">
        <v>9825</v>
      </c>
      <c r="G53" s="34" t="s">
        <v>16444</v>
      </c>
      <c r="H53" s="34" t="s">
        <v>16445</v>
      </c>
      <c r="I53" s="35">
        <v>5</v>
      </c>
      <c r="J53" s="34" t="s">
        <v>16446</v>
      </c>
      <c r="K53" s="35"/>
      <c r="L53" s="34" t="s">
        <v>16098</v>
      </c>
      <c r="M53" s="35" t="s">
        <v>9</v>
      </c>
      <c r="N53" s="34" t="s">
        <v>16447</v>
      </c>
      <c r="O53" s="35" t="s">
        <v>816</v>
      </c>
      <c r="P53" s="35" t="s">
        <v>669</v>
      </c>
    </row>
    <row r="54" spans="1:16" ht="13.2" customHeight="1" x14ac:dyDescent="0.25">
      <c r="A54" s="35">
        <v>52</v>
      </c>
      <c r="B54" s="34" t="s">
        <v>16448</v>
      </c>
      <c r="C54" s="35"/>
      <c r="D54" s="34" t="s">
        <v>16449</v>
      </c>
      <c r="E54" s="34" t="s">
        <v>16450</v>
      </c>
      <c r="F54" s="34" t="s">
        <v>16451</v>
      </c>
      <c r="G54" s="34" t="s">
        <v>16452</v>
      </c>
      <c r="H54" s="34" t="s">
        <v>16453</v>
      </c>
      <c r="I54" s="35">
        <v>5</v>
      </c>
      <c r="J54" s="34" t="s">
        <v>16454</v>
      </c>
      <c r="K54" s="35"/>
      <c r="L54" s="34" t="s">
        <v>16098</v>
      </c>
      <c r="M54" s="35" t="s">
        <v>9</v>
      </c>
      <c r="N54" s="34" t="s">
        <v>16455</v>
      </c>
      <c r="O54" s="35" t="s">
        <v>816</v>
      </c>
      <c r="P54" s="35" t="s">
        <v>669</v>
      </c>
    </row>
    <row r="55" spans="1:16" ht="13.2" customHeight="1" x14ac:dyDescent="0.25">
      <c r="A55" s="35">
        <v>53</v>
      </c>
      <c r="B55" s="34" t="s">
        <v>16456</v>
      </c>
      <c r="C55" s="35"/>
      <c r="D55" s="34" t="s">
        <v>15650</v>
      </c>
      <c r="E55" s="34" t="s">
        <v>16457</v>
      </c>
      <c r="F55" s="34" t="s">
        <v>16458</v>
      </c>
      <c r="G55" s="34" t="s">
        <v>16459</v>
      </c>
      <c r="H55" s="34" t="s">
        <v>15649</v>
      </c>
      <c r="I55" s="35" t="s">
        <v>123</v>
      </c>
      <c r="J55" s="34" t="s">
        <v>16460</v>
      </c>
      <c r="K55" s="35"/>
      <c r="L55" s="34" t="s">
        <v>16098</v>
      </c>
      <c r="M55" s="35" t="s">
        <v>9</v>
      </c>
      <c r="N55" s="34" t="s">
        <v>16461</v>
      </c>
      <c r="O55" s="35" t="s">
        <v>816</v>
      </c>
      <c r="P55" s="35" t="s">
        <v>1849</v>
      </c>
    </row>
    <row r="56" spans="1:16" ht="13.2" customHeight="1" x14ac:dyDescent="0.25">
      <c r="A56" s="35">
        <v>54</v>
      </c>
      <c r="B56" s="34" t="s">
        <v>16462</v>
      </c>
      <c r="C56" s="35"/>
      <c r="D56" s="34" t="s">
        <v>16463</v>
      </c>
      <c r="E56" s="34" t="s">
        <v>16464</v>
      </c>
      <c r="F56" s="34" t="s">
        <v>16465</v>
      </c>
      <c r="G56" s="34" t="s">
        <v>16466</v>
      </c>
      <c r="H56" s="34" t="s">
        <v>16467</v>
      </c>
      <c r="I56" s="35" t="s">
        <v>96</v>
      </c>
      <c r="J56" s="34" t="s">
        <v>16468</v>
      </c>
      <c r="K56" s="35"/>
      <c r="L56" s="34" t="s">
        <v>16469</v>
      </c>
      <c r="M56" s="35" t="s">
        <v>9</v>
      </c>
      <c r="N56" s="34" t="s">
        <v>16470</v>
      </c>
      <c r="O56" s="35" t="s">
        <v>816</v>
      </c>
      <c r="P56" s="35" t="s">
        <v>1849</v>
      </c>
    </row>
    <row r="57" spans="1:16" ht="13.2" customHeight="1" x14ac:dyDescent="0.25">
      <c r="A57" s="35">
        <v>55</v>
      </c>
      <c r="B57" s="34" t="s">
        <v>16471</v>
      </c>
      <c r="C57" s="35"/>
      <c r="D57" s="34" t="s">
        <v>16472</v>
      </c>
      <c r="E57" s="34" t="s">
        <v>16473</v>
      </c>
      <c r="F57" s="34" t="s">
        <v>16474</v>
      </c>
      <c r="G57" s="34" t="s">
        <v>16475</v>
      </c>
      <c r="H57" s="34" t="s">
        <v>16476</v>
      </c>
      <c r="I57" s="35" t="s">
        <v>90</v>
      </c>
      <c r="J57" s="34" t="s">
        <v>16477</v>
      </c>
      <c r="K57" s="35"/>
      <c r="L57" s="34" t="s">
        <v>16478</v>
      </c>
      <c r="M57" s="35" t="s">
        <v>9</v>
      </c>
      <c r="N57" s="34" t="s">
        <v>16479</v>
      </c>
      <c r="O57" s="35" t="s">
        <v>816</v>
      </c>
      <c r="P57" s="35" t="s">
        <v>1849</v>
      </c>
    </row>
    <row r="58" spans="1:16" ht="13.2" customHeight="1" x14ac:dyDescent="0.25">
      <c r="A58" s="35">
        <v>56</v>
      </c>
      <c r="B58" s="34" t="s">
        <v>16480</v>
      </c>
      <c r="C58" s="35"/>
      <c r="D58" s="34" t="s">
        <v>542</v>
      </c>
      <c r="E58" s="34" t="s">
        <v>16481</v>
      </c>
      <c r="F58" s="34" t="s">
        <v>9827</v>
      </c>
      <c r="G58" s="34" t="s">
        <v>16482</v>
      </c>
      <c r="H58" s="34" t="s">
        <v>16483</v>
      </c>
      <c r="I58" s="35" t="s">
        <v>123</v>
      </c>
      <c r="J58" s="34" t="s">
        <v>16484</v>
      </c>
      <c r="K58" s="35"/>
      <c r="L58" s="34" t="s">
        <v>16485</v>
      </c>
      <c r="M58" s="35" t="s">
        <v>9</v>
      </c>
      <c r="N58" s="34" t="s">
        <v>16486</v>
      </c>
      <c r="O58" s="35" t="s">
        <v>816</v>
      </c>
      <c r="P58" s="35" t="s">
        <v>1849</v>
      </c>
    </row>
    <row r="59" spans="1:16" ht="13.2" customHeight="1" x14ac:dyDescent="0.25">
      <c r="A59" s="35">
        <v>57</v>
      </c>
      <c r="B59" s="34" t="s">
        <v>16487</v>
      </c>
      <c r="C59" s="35"/>
      <c r="D59" s="34" t="s">
        <v>16488</v>
      </c>
      <c r="E59" s="34" t="s">
        <v>4544</v>
      </c>
      <c r="F59" s="34" t="s">
        <v>16365</v>
      </c>
      <c r="G59" s="34" t="s">
        <v>16154</v>
      </c>
      <c r="H59" s="34" t="s">
        <v>16155</v>
      </c>
      <c r="I59" s="35" t="s">
        <v>96</v>
      </c>
      <c r="J59" s="34" t="s">
        <v>16489</v>
      </c>
      <c r="K59" s="35"/>
      <c r="L59" s="34" t="s">
        <v>16490</v>
      </c>
      <c r="M59" s="35" t="s">
        <v>9</v>
      </c>
      <c r="N59" s="34" t="s">
        <v>16491</v>
      </c>
      <c r="O59" s="35" t="s">
        <v>816</v>
      </c>
      <c r="P59" s="35" t="s">
        <v>1849</v>
      </c>
    </row>
    <row r="60" spans="1:16" ht="13.2" customHeight="1" x14ac:dyDescent="0.25">
      <c r="A60" s="35">
        <v>58</v>
      </c>
      <c r="B60" s="34" t="s">
        <v>16492</v>
      </c>
      <c r="C60" s="35"/>
      <c r="D60" s="34" t="s">
        <v>16493</v>
      </c>
      <c r="E60" s="34" t="s">
        <v>16494</v>
      </c>
      <c r="F60" s="34" t="s">
        <v>16495</v>
      </c>
      <c r="G60" s="34" t="s">
        <v>16496</v>
      </c>
      <c r="H60" s="34" t="s">
        <v>16497</v>
      </c>
      <c r="I60" s="35" t="s">
        <v>123</v>
      </c>
      <c r="J60" s="34" t="s">
        <v>16498</v>
      </c>
      <c r="K60" s="35"/>
      <c r="L60" s="34" t="s">
        <v>16499</v>
      </c>
      <c r="M60" s="35" t="s">
        <v>9</v>
      </c>
      <c r="N60" s="34" t="s">
        <v>16500</v>
      </c>
      <c r="O60" s="35" t="s">
        <v>816</v>
      </c>
      <c r="P60" s="35" t="s">
        <v>1849</v>
      </c>
    </row>
    <row r="61" spans="1:16" ht="13.2" customHeight="1" x14ac:dyDescent="0.25">
      <c r="A61" s="35">
        <v>59</v>
      </c>
      <c r="B61" s="34" t="s">
        <v>16501</v>
      </c>
      <c r="C61" s="35"/>
      <c r="D61" s="34" t="s">
        <v>16502</v>
      </c>
      <c r="E61" s="34" t="s">
        <v>16503</v>
      </c>
      <c r="F61" s="34" t="s">
        <v>16504</v>
      </c>
      <c r="G61" s="34" t="s">
        <v>16505</v>
      </c>
      <c r="H61" s="34" t="s">
        <v>16506</v>
      </c>
      <c r="I61" s="35" t="s">
        <v>96</v>
      </c>
      <c r="J61" s="34" t="s">
        <v>16507</v>
      </c>
      <c r="K61" s="35"/>
      <c r="L61" s="34" t="s">
        <v>16508</v>
      </c>
      <c r="M61" s="35" t="s">
        <v>9</v>
      </c>
      <c r="N61" s="34" t="s">
        <v>16509</v>
      </c>
      <c r="O61" s="35" t="s">
        <v>816</v>
      </c>
      <c r="P61" s="35" t="s">
        <v>1849</v>
      </c>
    </row>
    <row r="62" spans="1:16" ht="13.2" customHeight="1" x14ac:dyDescent="0.25">
      <c r="A62" s="35">
        <v>60</v>
      </c>
      <c r="B62" s="34" t="s">
        <v>16510</v>
      </c>
      <c r="C62" s="35"/>
      <c r="D62" s="34" t="s">
        <v>16511</v>
      </c>
      <c r="E62" s="34" t="s">
        <v>16512</v>
      </c>
      <c r="F62" s="34" t="s">
        <v>16513</v>
      </c>
      <c r="G62" s="34" t="s">
        <v>16514</v>
      </c>
      <c r="H62" s="34" t="s">
        <v>16515</v>
      </c>
      <c r="I62" s="35" t="s">
        <v>113</v>
      </c>
      <c r="J62" s="34" t="s">
        <v>16516</v>
      </c>
      <c r="K62" s="35"/>
      <c r="L62" s="34" t="s">
        <v>16517</v>
      </c>
      <c r="M62" s="35" t="s">
        <v>9</v>
      </c>
      <c r="N62" s="34" t="s">
        <v>16518</v>
      </c>
      <c r="O62" s="35" t="s">
        <v>816</v>
      </c>
      <c r="P62" s="35" t="s">
        <v>1849</v>
      </c>
    </row>
    <row r="63" spans="1:16" ht="13.2" customHeight="1" x14ac:dyDescent="0.25">
      <c r="A63" s="35">
        <v>61</v>
      </c>
      <c r="B63" s="34" t="s">
        <v>16519</v>
      </c>
      <c r="C63" s="35"/>
      <c r="D63" s="34" t="s">
        <v>9825</v>
      </c>
      <c r="E63" s="34" t="s">
        <v>16141</v>
      </c>
      <c r="F63" s="34" t="s">
        <v>15084</v>
      </c>
      <c r="G63" s="34" t="s">
        <v>16142</v>
      </c>
      <c r="H63" s="34" t="s">
        <v>16520</v>
      </c>
      <c r="I63" s="35" t="s">
        <v>123</v>
      </c>
      <c r="J63" s="34" t="s">
        <v>16521</v>
      </c>
      <c r="K63" s="35"/>
      <c r="L63" s="34" t="s">
        <v>16522</v>
      </c>
      <c r="M63" s="35" t="s">
        <v>9</v>
      </c>
      <c r="N63" s="34" t="s">
        <v>16523</v>
      </c>
      <c r="O63" s="35" t="s">
        <v>816</v>
      </c>
      <c r="P63" s="35" t="s">
        <v>1849</v>
      </c>
    </row>
    <row r="64" spans="1:16" ht="13.2" customHeight="1" x14ac:dyDescent="0.25">
      <c r="A64" s="35">
        <v>62</v>
      </c>
      <c r="B64" s="34" t="s">
        <v>16524</v>
      </c>
      <c r="C64" s="35"/>
      <c r="D64" s="34" t="s">
        <v>16525</v>
      </c>
      <c r="E64" s="34" t="s">
        <v>16526</v>
      </c>
      <c r="F64" s="34" t="s">
        <v>16527</v>
      </c>
      <c r="G64" s="34" t="s">
        <v>16528</v>
      </c>
      <c r="H64" s="34" t="s">
        <v>16529</v>
      </c>
      <c r="I64" s="35" t="s">
        <v>84</v>
      </c>
      <c r="J64" s="34" t="s">
        <v>16530</v>
      </c>
      <c r="K64" s="35"/>
      <c r="L64" s="34" t="s">
        <v>16531</v>
      </c>
      <c r="M64" s="35" t="s">
        <v>9</v>
      </c>
      <c r="N64" s="34" t="s">
        <v>16532</v>
      </c>
      <c r="O64" s="35" t="s">
        <v>816</v>
      </c>
      <c r="P64" s="35" t="s">
        <v>1849</v>
      </c>
    </row>
    <row r="65" spans="1:17" ht="13.2" customHeight="1" x14ac:dyDescent="0.25">
      <c r="A65" s="35">
        <v>63</v>
      </c>
      <c r="B65" s="34" t="s">
        <v>16533</v>
      </c>
      <c r="C65" s="35"/>
      <c r="D65" s="34" t="s">
        <v>16534</v>
      </c>
      <c r="E65" s="34" t="s">
        <v>16535</v>
      </c>
      <c r="F65" s="34" t="s">
        <v>16536</v>
      </c>
      <c r="G65" s="34" t="s">
        <v>16537</v>
      </c>
      <c r="H65" s="34" t="s">
        <v>16538</v>
      </c>
      <c r="I65" s="35" t="s">
        <v>84</v>
      </c>
      <c r="J65" s="34" t="s">
        <v>16539</v>
      </c>
      <c r="K65" s="35"/>
      <c r="L65" s="34" t="s">
        <v>16540</v>
      </c>
      <c r="M65" s="35" t="s">
        <v>29</v>
      </c>
      <c r="N65" s="34" t="s">
        <v>16541</v>
      </c>
      <c r="O65" s="35" t="s">
        <v>816</v>
      </c>
      <c r="P65" s="35" t="s">
        <v>1849</v>
      </c>
    </row>
    <row r="66" spans="1:17" ht="13.2" customHeight="1" x14ac:dyDescent="0.25">
      <c r="A66" s="35">
        <v>64</v>
      </c>
      <c r="B66" s="34" t="s">
        <v>16542</v>
      </c>
      <c r="C66" s="35"/>
      <c r="D66" s="34" t="s">
        <v>9825</v>
      </c>
      <c r="E66" s="34" t="s">
        <v>9826</v>
      </c>
      <c r="F66" s="34" t="s">
        <v>16141</v>
      </c>
      <c r="G66" s="34" t="s">
        <v>16543</v>
      </c>
      <c r="H66" s="34" t="s">
        <v>16544</v>
      </c>
      <c r="I66" s="35" t="s">
        <v>113</v>
      </c>
      <c r="J66" s="34" t="s">
        <v>16545</v>
      </c>
      <c r="K66" s="35"/>
      <c r="L66" s="34" t="s">
        <v>16546</v>
      </c>
      <c r="M66" s="35" t="s">
        <v>9</v>
      </c>
      <c r="N66" s="34" t="s">
        <v>16547</v>
      </c>
      <c r="O66" s="35" t="s">
        <v>14199</v>
      </c>
      <c r="P66" s="35" t="s">
        <v>165</v>
      </c>
    </row>
    <row r="67" spans="1:17" ht="13.2" customHeight="1" x14ac:dyDescent="0.25">
      <c r="A67" s="35">
        <v>65</v>
      </c>
      <c r="B67" s="34" t="s">
        <v>16548</v>
      </c>
      <c r="C67" s="35"/>
      <c r="D67" s="34" t="s">
        <v>16549</v>
      </c>
      <c r="E67" s="34" t="s">
        <v>16550</v>
      </c>
      <c r="F67" s="34" t="s">
        <v>16551</v>
      </c>
      <c r="G67" s="34" t="s">
        <v>16197</v>
      </c>
      <c r="H67" s="34" t="s">
        <v>16198</v>
      </c>
      <c r="I67" s="35" t="s">
        <v>84</v>
      </c>
      <c r="J67" s="34" t="s">
        <v>16552</v>
      </c>
      <c r="K67" s="35"/>
      <c r="L67" s="34" t="s">
        <v>16098</v>
      </c>
      <c r="M67" s="35" t="s">
        <v>16549</v>
      </c>
      <c r="N67" s="34" t="s">
        <v>1870</v>
      </c>
      <c r="O67" s="35" t="s">
        <v>164</v>
      </c>
      <c r="P67" s="35" t="s">
        <v>1865</v>
      </c>
    </row>
    <row r="68" spans="1:17" ht="13.2" customHeight="1" x14ac:dyDescent="0.25">
      <c r="A68" s="33">
        <v>66</v>
      </c>
      <c r="B68" s="34" t="s">
        <v>16553</v>
      </c>
      <c r="C68" s="35"/>
      <c r="D68" s="34" t="s">
        <v>16554</v>
      </c>
      <c r="E68" s="34" t="s">
        <v>16555</v>
      </c>
      <c r="F68" s="34" t="s">
        <v>16154</v>
      </c>
      <c r="G68" s="34" t="s">
        <v>16556</v>
      </c>
      <c r="H68" s="34" t="s">
        <v>16155</v>
      </c>
      <c r="I68" s="33" t="s">
        <v>84</v>
      </c>
      <c r="J68" s="34" t="s">
        <v>16557</v>
      </c>
      <c r="K68" s="35"/>
      <c r="L68" s="34" t="s">
        <v>16558</v>
      </c>
      <c r="M68" s="35" t="s">
        <v>9</v>
      </c>
      <c r="N68" s="34" t="s">
        <v>16559</v>
      </c>
      <c r="O68" s="35" t="s">
        <v>14199</v>
      </c>
      <c r="P68" s="35" t="s">
        <v>165</v>
      </c>
      <c r="Q68" s="2"/>
    </row>
    <row r="69" spans="1:17" ht="13.2" customHeight="1" x14ac:dyDescent="0.25">
      <c r="A69" s="33">
        <v>67</v>
      </c>
      <c r="B69" s="34" t="s">
        <v>16560</v>
      </c>
      <c r="C69" s="35"/>
      <c r="D69" s="34" t="s">
        <v>16561</v>
      </c>
      <c r="E69" s="34" t="s">
        <v>16562</v>
      </c>
      <c r="F69" s="34" t="s">
        <v>16563</v>
      </c>
      <c r="G69" s="34" t="s">
        <v>16564</v>
      </c>
      <c r="H69" s="34" t="s">
        <v>16565</v>
      </c>
      <c r="I69" s="33" t="s">
        <v>123</v>
      </c>
      <c r="J69" s="34" t="s">
        <v>16566</v>
      </c>
      <c r="K69" s="35"/>
      <c r="L69" s="34" t="s">
        <v>16567</v>
      </c>
      <c r="M69" s="35" t="s">
        <v>9</v>
      </c>
      <c r="N69" s="34" t="s">
        <v>16568</v>
      </c>
      <c r="O69" s="35" t="s">
        <v>14199</v>
      </c>
      <c r="P69" s="35" t="s">
        <v>165</v>
      </c>
      <c r="Q69" s="2"/>
    </row>
    <row r="70" spans="1:17" ht="13.2" customHeight="1" x14ac:dyDescent="0.25">
      <c r="A70" s="33">
        <v>68</v>
      </c>
      <c r="B70" s="34" t="s">
        <v>16569</v>
      </c>
      <c r="C70" s="35"/>
      <c r="D70" s="34" t="s">
        <v>16549</v>
      </c>
      <c r="E70" s="34" t="s">
        <v>16570</v>
      </c>
      <c r="F70" s="34" t="s">
        <v>16571</v>
      </c>
      <c r="G70" s="34" t="s">
        <v>16572</v>
      </c>
      <c r="H70" s="34" t="s">
        <v>16573</v>
      </c>
      <c r="I70" s="33" t="s">
        <v>84</v>
      </c>
      <c r="J70" s="34" t="s">
        <v>16574</v>
      </c>
      <c r="K70" s="35"/>
      <c r="L70" s="34" t="s">
        <v>16189</v>
      </c>
      <c r="M70" s="35" t="s">
        <v>16549</v>
      </c>
      <c r="N70" s="34" t="s">
        <v>16575</v>
      </c>
      <c r="O70" s="35" t="s">
        <v>164</v>
      </c>
      <c r="P70" s="35" t="s">
        <v>1865</v>
      </c>
      <c r="Q70" s="2"/>
    </row>
    <row r="71" spans="1:17" ht="13.2" customHeight="1" x14ac:dyDescent="0.25">
      <c r="A71" s="33">
        <v>69</v>
      </c>
      <c r="B71" s="34" t="s">
        <v>16576</v>
      </c>
      <c r="C71" s="35"/>
      <c r="D71" s="34" t="s">
        <v>16549</v>
      </c>
      <c r="E71" s="34" t="s">
        <v>16551</v>
      </c>
      <c r="F71" s="34" t="s">
        <v>16197</v>
      </c>
      <c r="G71" s="34" t="s">
        <v>16198</v>
      </c>
      <c r="H71" s="34" t="s">
        <v>9825</v>
      </c>
      <c r="I71" s="33" t="s">
        <v>84</v>
      </c>
      <c r="J71" s="34" t="s">
        <v>16577</v>
      </c>
      <c r="K71" s="35"/>
      <c r="L71" s="34" t="s">
        <v>16098</v>
      </c>
      <c r="M71" s="35" t="s">
        <v>16549</v>
      </c>
      <c r="N71" s="34" t="s">
        <v>16578</v>
      </c>
      <c r="O71" s="35" t="s">
        <v>164</v>
      </c>
      <c r="P71" s="35" t="s">
        <v>1865</v>
      </c>
      <c r="Q71" s="2"/>
    </row>
    <row r="72" spans="1:17" ht="13.2" customHeight="1" x14ac:dyDescent="0.25">
      <c r="A72" s="33">
        <v>70</v>
      </c>
      <c r="B72" s="34" t="s">
        <v>16579</v>
      </c>
      <c r="C72" s="35"/>
      <c r="D72" s="34" t="s">
        <v>16549</v>
      </c>
      <c r="E72" s="34" t="s">
        <v>16580</v>
      </c>
      <c r="F72" s="34" t="s">
        <v>15715</v>
      </c>
      <c r="G72" s="34" t="s">
        <v>16581</v>
      </c>
      <c r="H72" s="34" t="s">
        <v>16582</v>
      </c>
      <c r="I72" s="33" t="s">
        <v>84</v>
      </c>
      <c r="J72" s="34" t="s">
        <v>16583</v>
      </c>
      <c r="K72" s="35"/>
      <c r="L72" s="34" t="s">
        <v>16098</v>
      </c>
      <c r="M72" s="35" t="s">
        <v>16549</v>
      </c>
      <c r="N72" s="34" t="s">
        <v>16584</v>
      </c>
      <c r="O72" s="35" t="s">
        <v>164</v>
      </c>
      <c r="P72" s="35" t="s">
        <v>1865</v>
      </c>
      <c r="Q72" s="2"/>
    </row>
    <row r="73" spans="1:17" ht="13.2" customHeight="1" x14ac:dyDescent="0.25">
      <c r="A73" s="33">
        <v>71</v>
      </c>
      <c r="B73" s="34" t="s">
        <v>16585</v>
      </c>
      <c r="C73" s="35"/>
      <c r="D73" s="34" t="s">
        <v>16586</v>
      </c>
      <c r="E73" s="34" t="s">
        <v>16587</v>
      </c>
      <c r="F73" s="34" t="s">
        <v>16588</v>
      </c>
      <c r="G73" s="34" t="s">
        <v>16589</v>
      </c>
      <c r="H73" s="34" t="s">
        <v>16590</v>
      </c>
      <c r="I73" s="33" t="s">
        <v>113</v>
      </c>
      <c r="J73" s="34" t="s">
        <v>16591</v>
      </c>
      <c r="K73" s="35"/>
      <c r="L73" s="34" t="s">
        <v>16592</v>
      </c>
      <c r="M73" s="35" t="s">
        <v>9</v>
      </c>
      <c r="N73" s="34" t="s">
        <v>16593</v>
      </c>
      <c r="O73" s="35" t="s">
        <v>14199</v>
      </c>
      <c r="P73" s="35" t="s">
        <v>224</v>
      </c>
      <c r="Q73" s="2"/>
    </row>
    <row r="74" spans="1:17" ht="13.2" customHeight="1" x14ac:dyDescent="0.25">
      <c r="A74" s="33">
        <v>72</v>
      </c>
      <c r="B74" s="34" t="s">
        <v>16594</v>
      </c>
      <c r="C74" s="35"/>
      <c r="D74" s="34" t="s">
        <v>16154</v>
      </c>
      <c r="E74" s="34" t="s">
        <v>16155</v>
      </c>
      <c r="F74" s="34" t="s">
        <v>16595</v>
      </c>
      <c r="G74" s="34" t="s">
        <v>16556</v>
      </c>
      <c r="H74" s="34" t="s">
        <v>16596</v>
      </c>
      <c r="I74" s="33" t="s">
        <v>90</v>
      </c>
      <c r="J74" s="34" t="s">
        <v>16597</v>
      </c>
      <c r="K74" s="35"/>
      <c r="L74" s="34" t="s">
        <v>16598</v>
      </c>
      <c r="M74" s="35" t="s">
        <v>9</v>
      </c>
      <c r="N74" s="34" t="s">
        <v>16599</v>
      </c>
      <c r="O74" s="35" t="s">
        <v>14199</v>
      </c>
      <c r="P74" s="35" t="s">
        <v>224</v>
      </c>
      <c r="Q74" s="2"/>
    </row>
    <row r="75" spans="1:17" ht="13.2" customHeight="1" x14ac:dyDescent="0.25">
      <c r="A75" s="33">
        <v>73</v>
      </c>
      <c r="B75" s="34" t="s">
        <v>16600</v>
      </c>
      <c r="C75" s="35"/>
      <c r="D75" s="34" t="s">
        <v>16601</v>
      </c>
      <c r="E75" s="34" t="s">
        <v>16602</v>
      </c>
      <c r="F75" s="34" t="s">
        <v>16603</v>
      </c>
      <c r="G75" s="34" t="s">
        <v>16604</v>
      </c>
      <c r="H75" s="34" t="s">
        <v>16605</v>
      </c>
      <c r="I75" s="33" t="s">
        <v>90</v>
      </c>
      <c r="J75" s="34" t="s">
        <v>16606</v>
      </c>
      <c r="K75" s="35"/>
      <c r="L75" s="34" t="s">
        <v>16607</v>
      </c>
      <c r="M75" s="35" t="s">
        <v>9</v>
      </c>
      <c r="N75" s="34" t="s">
        <v>16608</v>
      </c>
      <c r="O75" s="35" t="s">
        <v>14199</v>
      </c>
      <c r="P75" s="35" t="s">
        <v>224</v>
      </c>
      <c r="Q75" s="2"/>
    </row>
    <row r="76" spans="1:17" ht="13.2" customHeight="1" x14ac:dyDescent="0.25">
      <c r="A76" s="33">
        <v>74</v>
      </c>
      <c r="B76" s="34" t="s">
        <v>16609</v>
      </c>
      <c r="C76" s="35"/>
      <c r="D76" s="34" t="s">
        <v>16549</v>
      </c>
      <c r="E76" s="34" t="s">
        <v>16610</v>
      </c>
      <c r="F76" s="34" t="s">
        <v>16611</v>
      </c>
      <c r="G76" s="34" t="s">
        <v>16612</v>
      </c>
      <c r="H76" s="34" t="s">
        <v>16613</v>
      </c>
      <c r="I76" s="33" t="s">
        <v>84</v>
      </c>
      <c r="J76" s="34" t="s">
        <v>16614</v>
      </c>
      <c r="K76" s="35"/>
      <c r="L76" s="34" t="s">
        <v>16098</v>
      </c>
      <c r="M76" s="35" t="s">
        <v>16549</v>
      </c>
      <c r="N76" s="34" t="s">
        <v>16615</v>
      </c>
      <c r="O76" s="35" t="s">
        <v>164</v>
      </c>
      <c r="P76" s="35" t="s">
        <v>2109</v>
      </c>
      <c r="Q76" s="2"/>
    </row>
    <row r="77" spans="1:17" ht="13.2" customHeight="1" x14ac:dyDescent="0.25">
      <c r="A77" s="33">
        <v>75</v>
      </c>
      <c r="B77" s="34" t="s">
        <v>16616</v>
      </c>
      <c r="C77" s="35"/>
      <c r="D77" s="34" t="s">
        <v>16549</v>
      </c>
      <c r="E77" s="34" t="s">
        <v>7056</v>
      </c>
      <c r="F77" s="34" t="s">
        <v>16617</v>
      </c>
      <c r="G77" s="34" t="s">
        <v>12240</v>
      </c>
      <c r="H77" s="34" t="s">
        <v>16618</v>
      </c>
      <c r="I77" s="33" t="s">
        <v>84</v>
      </c>
      <c r="J77" s="34" t="s">
        <v>16619</v>
      </c>
      <c r="K77" s="35"/>
      <c r="L77" s="34" t="s">
        <v>16098</v>
      </c>
      <c r="M77" s="35" t="s">
        <v>16549</v>
      </c>
      <c r="N77" s="34" t="s">
        <v>16620</v>
      </c>
      <c r="O77" s="35" t="s">
        <v>164</v>
      </c>
      <c r="P77" s="35" t="s">
        <v>2109</v>
      </c>
      <c r="Q77" s="2"/>
    </row>
    <row r="78" spans="1:17" ht="13.2" customHeight="1" x14ac:dyDescent="0.25">
      <c r="A78" s="33">
        <v>76</v>
      </c>
      <c r="B78" s="34" t="s">
        <v>16621</v>
      </c>
      <c r="C78" s="35"/>
      <c r="D78" s="34" t="s">
        <v>16549</v>
      </c>
      <c r="E78" s="34" t="s">
        <v>16622</v>
      </c>
      <c r="F78" s="34" t="s">
        <v>16623</v>
      </c>
      <c r="G78" s="34" t="s">
        <v>16624</v>
      </c>
      <c r="H78" s="34" t="s">
        <v>16625</v>
      </c>
      <c r="I78" s="33" t="s">
        <v>84</v>
      </c>
      <c r="J78" s="34" t="s">
        <v>16626</v>
      </c>
      <c r="K78" s="35"/>
      <c r="L78" s="34" t="s">
        <v>16098</v>
      </c>
      <c r="M78" s="35" t="s">
        <v>16549</v>
      </c>
      <c r="N78" s="34" t="s">
        <v>16627</v>
      </c>
      <c r="O78" s="35" t="s">
        <v>164</v>
      </c>
      <c r="P78" s="35" t="s">
        <v>2109</v>
      </c>
      <c r="Q78" s="2"/>
    </row>
    <row r="79" spans="1:17" ht="13.2" customHeight="1" x14ac:dyDescent="0.25">
      <c r="A79" s="33">
        <v>77</v>
      </c>
      <c r="B79" s="34" t="s">
        <v>16628</v>
      </c>
      <c r="C79" s="35"/>
      <c r="D79" s="34" t="s">
        <v>16549</v>
      </c>
      <c r="E79" s="34" t="s">
        <v>16198</v>
      </c>
      <c r="F79" s="34" t="s">
        <v>9825</v>
      </c>
      <c r="G79" s="34" t="s">
        <v>16629</v>
      </c>
      <c r="H79" s="34" t="s">
        <v>16630</v>
      </c>
      <c r="I79" s="33" t="s">
        <v>84</v>
      </c>
      <c r="J79" s="34" t="s">
        <v>16631</v>
      </c>
      <c r="K79" s="35"/>
      <c r="L79" s="34" t="s">
        <v>16098</v>
      </c>
      <c r="M79" s="35" t="s">
        <v>16549</v>
      </c>
      <c r="N79" s="34" t="s">
        <v>16632</v>
      </c>
      <c r="O79" s="35" t="s">
        <v>164</v>
      </c>
      <c r="P79" s="33" t="s">
        <v>2109</v>
      </c>
      <c r="Q79" s="2"/>
    </row>
    <row r="80" spans="1:17" ht="13.2" customHeight="1" x14ac:dyDescent="0.25">
      <c r="A80" s="33">
        <v>78</v>
      </c>
      <c r="B80" s="34" t="s">
        <v>16633</v>
      </c>
      <c r="C80" s="35"/>
      <c r="D80" s="34" t="s">
        <v>16549</v>
      </c>
      <c r="E80" s="34" t="s">
        <v>16634</v>
      </c>
      <c r="F80" s="34" t="s">
        <v>16635</v>
      </c>
      <c r="G80" s="34" t="s">
        <v>16636</v>
      </c>
      <c r="H80" s="34" t="s">
        <v>16637</v>
      </c>
      <c r="I80" s="33" t="s">
        <v>84</v>
      </c>
      <c r="J80" s="34" t="s">
        <v>16638</v>
      </c>
      <c r="K80" s="35"/>
      <c r="L80" s="34" t="s">
        <v>16098</v>
      </c>
      <c r="M80" s="35" t="s">
        <v>16549</v>
      </c>
      <c r="N80" s="34" t="s">
        <v>16639</v>
      </c>
      <c r="O80" s="35" t="s">
        <v>164</v>
      </c>
      <c r="P80" s="35" t="s">
        <v>2155</v>
      </c>
    </row>
    <row r="81" spans="1:17" ht="13.2" customHeight="1" x14ac:dyDescent="0.25">
      <c r="A81" s="33">
        <v>79</v>
      </c>
      <c r="B81" s="34" t="s">
        <v>16640</v>
      </c>
      <c r="C81" s="35"/>
      <c r="D81" s="34" t="s">
        <v>16549</v>
      </c>
      <c r="E81" s="34" t="s">
        <v>16641</v>
      </c>
      <c r="F81" s="34" t="s">
        <v>16642</v>
      </c>
      <c r="G81" s="34" t="s">
        <v>16550</v>
      </c>
      <c r="H81" s="34" t="s">
        <v>16551</v>
      </c>
      <c r="I81" s="33" t="s">
        <v>84</v>
      </c>
      <c r="J81" s="34" t="s">
        <v>16643</v>
      </c>
      <c r="K81" s="35"/>
      <c r="L81" s="34" t="s">
        <v>16189</v>
      </c>
      <c r="M81" s="35" t="s">
        <v>16549</v>
      </c>
      <c r="N81" s="34" t="s">
        <v>16644</v>
      </c>
      <c r="O81" s="35" t="s">
        <v>164</v>
      </c>
      <c r="P81" s="33" t="s">
        <v>2155</v>
      </c>
      <c r="Q81" s="2"/>
    </row>
    <row r="82" spans="1:17" ht="13.2" customHeight="1" x14ac:dyDescent="0.25">
      <c r="A82" s="33">
        <v>80</v>
      </c>
      <c r="B82" s="34" t="s">
        <v>16645</v>
      </c>
      <c r="C82" s="35"/>
      <c r="D82" s="34" t="s">
        <v>16549</v>
      </c>
      <c r="E82" s="34" t="s">
        <v>16646</v>
      </c>
      <c r="F82" s="34" t="s">
        <v>16647</v>
      </c>
      <c r="G82" s="34" t="s">
        <v>16648</v>
      </c>
      <c r="H82" s="34" t="s">
        <v>16649</v>
      </c>
      <c r="I82" s="33" t="s">
        <v>84</v>
      </c>
      <c r="J82" s="34" t="s">
        <v>16650</v>
      </c>
      <c r="K82" s="35"/>
      <c r="L82" s="34" t="s">
        <v>16098</v>
      </c>
      <c r="M82" s="35" t="s">
        <v>16549</v>
      </c>
      <c r="N82" s="34" t="s">
        <v>16651</v>
      </c>
      <c r="O82" s="35" t="s">
        <v>164</v>
      </c>
      <c r="P82" s="33" t="s">
        <v>2155</v>
      </c>
      <c r="Q82" s="2"/>
    </row>
    <row r="83" spans="1:17" ht="13.2" customHeight="1" x14ac:dyDescent="0.25">
      <c r="A83" s="33">
        <v>81</v>
      </c>
      <c r="B83" s="34" t="s">
        <v>16652</v>
      </c>
      <c r="C83" s="35"/>
      <c r="D83" s="34" t="s">
        <v>16549</v>
      </c>
      <c r="E83" s="34" t="s">
        <v>9825</v>
      </c>
      <c r="F83" s="34" t="s">
        <v>16629</v>
      </c>
      <c r="G83" s="34" t="s">
        <v>16630</v>
      </c>
      <c r="H83" s="34" t="s">
        <v>16653</v>
      </c>
      <c r="I83" s="33" t="s">
        <v>84</v>
      </c>
      <c r="J83" s="34" t="s">
        <v>16654</v>
      </c>
      <c r="K83" s="35"/>
      <c r="L83" s="34" t="s">
        <v>16209</v>
      </c>
      <c r="M83" s="35" t="s">
        <v>16549</v>
      </c>
      <c r="N83" s="34" t="s">
        <v>16655</v>
      </c>
      <c r="O83" s="35" t="s">
        <v>164</v>
      </c>
      <c r="P83" s="35" t="s">
        <v>2155</v>
      </c>
      <c r="Q83" s="2"/>
    </row>
    <row r="84" spans="1:17" ht="13.2" customHeight="1" x14ac:dyDescent="0.25">
      <c r="A84" s="33">
        <v>82</v>
      </c>
      <c r="B84" s="34" t="s">
        <v>16656</v>
      </c>
      <c r="C84" s="35"/>
      <c r="D84" s="34" t="s">
        <v>16549</v>
      </c>
      <c r="E84" s="34" t="s">
        <v>16653</v>
      </c>
      <c r="F84" s="34" t="s">
        <v>16657</v>
      </c>
      <c r="G84" s="34" t="s">
        <v>16641</v>
      </c>
      <c r="H84" s="34" t="s">
        <v>16642</v>
      </c>
      <c r="I84" s="33" t="s">
        <v>84</v>
      </c>
      <c r="J84" s="34" t="s">
        <v>16658</v>
      </c>
      <c r="K84" s="35"/>
      <c r="L84" s="34" t="s">
        <v>16098</v>
      </c>
      <c r="M84" s="35" t="s">
        <v>16549</v>
      </c>
      <c r="N84" s="34" t="s">
        <v>16659</v>
      </c>
      <c r="O84" s="35" t="s">
        <v>164</v>
      </c>
      <c r="P84" s="35" t="s">
        <v>2155</v>
      </c>
    </row>
    <row r="85" spans="1:17" ht="13.2" customHeight="1" x14ac:dyDescent="0.25">
      <c r="A85" s="33">
        <v>83</v>
      </c>
      <c r="B85" s="34" t="s">
        <v>16660</v>
      </c>
      <c r="C85" s="35"/>
      <c r="D85" s="34" t="s">
        <v>16661</v>
      </c>
      <c r="E85" s="34" t="s">
        <v>16662</v>
      </c>
      <c r="F85" s="34" t="s">
        <v>16663</v>
      </c>
      <c r="G85" s="34" t="s">
        <v>16664</v>
      </c>
      <c r="H85" s="34" t="s">
        <v>16665</v>
      </c>
      <c r="I85" s="33">
        <v>1</v>
      </c>
      <c r="J85" s="34" t="s">
        <v>16666</v>
      </c>
      <c r="K85" s="35"/>
      <c r="L85" s="34" t="s">
        <v>16098</v>
      </c>
      <c r="M85" s="35" t="s">
        <v>9</v>
      </c>
      <c r="N85" s="34" t="s">
        <v>16667</v>
      </c>
      <c r="O85" s="35" t="s">
        <v>164</v>
      </c>
      <c r="P85" s="35" t="s">
        <v>2206</v>
      </c>
      <c r="Q85" s="2"/>
    </row>
    <row r="86" spans="1:17" ht="13.2" customHeight="1" x14ac:dyDescent="0.25">
      <c r="A86" s="33">
        <v>84</v>
      </c>
      <c r="B86" s="34" t="s">
        <v>16668</v>
      </c>
      <c r="C86" s="35"/>
      <c r="D86" s="34" t="s">
        <v>16669</v>
      </c>
      <c r="E86" s="34" t="s">
        <v>16670</v>
      </c>
      <c r="F86" s="34" t="s">
        <v>16671</v>
      </c>
      <c r="G86" s="34" t="s">
        <v>16672</v>
      </c>
      <c r="H86" s="34" t="s">
        <v>16673</v>
      </c>
      <c r="I86" s="33">
        <v>1</v>
      </c>
      <c r="J86" s="34" t="s">
        <v>16674</v>
      </c>
      <c r="K86" s="35"/>
      <c r="L86" s="34" t="s">
        <v>16098</v>
      </c>
      <c r="M86" s="35" t="s">
        <v>9</v>
      </c>
      <c r="N86" s="34" t="s">
        <v>16675</v>
      </c>
      <c r="O86" s="35" t="s">
        <v>164</v>
      </c>
      <c r="P86" s="33" t="s">
        <v>2206</v>
      </c>
      <c r="Q86" s="2"/>
    </row>
    <row r="87" spans="1:17" ht="13.2" customHeight="1" x14ac:dyDescent="0.25">
      <c r="A87" s="33">
        <v>85</v>
      </c>
      <c r="B87" s="34" t="s">
        <v>16676</v>
      </c>
      <c r="C87" s="35"/>
      <c r="D87" s="34" t="s">
        <v>16677</v>
      </c>
      <c r="E87" s="34" t="s">
        <v>16678</v>
      </c>
      <c r="F87" s="34" t="s">
        <v>16679</v>
      </c>
      <c r="G87" s="34" t="s">
        <v>16680</v>
      </c>
      <c r="H87" s="34" t="s">
        <v>16681</v>
      </c>
      <c r="I87" s="33">
        <v>1</v>
      </c>
      <c r="J87" s="34" t="s">
        <v>16682</v>
      </c>
      <c r="K87" s="35"/>
      <c r="L87" s="34" t="s">
        <v>16189</v>
      </c>
      <c r="M87" s="35" t="s">
        <v>9</v>
      </c>
      <c r="N87" s="34" t="s">
        <v>16683</v>
      </c>
      <c r="O87" s="35" t="s">
        <v>164</v>
      </c>
      <c r="P87" s="33" t="s">
        <v>2206</v>
      </c>
      <c r="Q87" s="2"/>
    </row>
    <row r="88" spans="1:17" ht="13.2" customHeight="1" x14ac:dyDescent="0.25">
      <c r="A88" s="33">
        <v>86</v>
      </c>
      <c r="B88" s="34" t="s">
        <v>16684</v>
      </c>
      <c r="C88" s="35"/>
      <c r="D88" s="34" t="s">
        <v>9827</v>
      </c>
      <c r="E88" s="34" t="s">
        <v>16685</v>
      </c>
      <c r="F88" s="34" t="s">
        <v>16142</v>
      </c>
      <c r="G88" s="34" t="s">
        <v>16686</v>
      </c>
      <c r="H88" s="34" t="s">
        <v>3299</v>
      </c>
      <c r="I88" s="33">
        <v>1</v>
      </c>
      <c r="J88" s="34" t="s">
        <v>16687</v>
      </c>
      <c r="K88" s="35"/>
      <c r="L88" s="34" t="s">
        <v>16274</v>
      </c>
      <c r="M88" s="35" t="s">
        <v>9</v>
      </c>
      <c r="N88" s="34" t="s">
        <v>12328</v>
      </c>
      <c r="O88" s="35" t="s">
        <v>164</v>
      </c>
      <c r="P88" s="33" t="s">
        <v>2206</v>
      </c>
      <c r="Q88" s="2"/>
    </row>
    <row r="89" spans="1:17" ht="13.2" customHeight="1" x14ac:dyDescent="0.25">
      <c r="A89" s="33">
        <v>87</v>
      </c>
      <c r="B89" s="34" t="s">
        <v>16688</v>
      </c>
      <c r="C89" s="35"/>
      <c r="D89" s="34" t="s">
        <v>10036</v>
      </c>
      <c r="E89" s="34" t="s">
        <v>9826</v>
      </c>
      <c r="F89" s="34" t="s">
        <v>16689</v>
      </c>
      <c r="G89" s="34" t="s">
        <v>16142</v>
      </c>
      <c r="H89" s="34" t="s">
        <v>16690</v>
      </c>
      <c r="I89" s="33">
        <v>1</v>
      </c>
      <c r="J89" s="34" t="s">
        <v>16691</v>
      </c>
      <c r="K89" s="35"/>
      <c r="L89" s="34" t="s">
        <v>16098</v>
      </c>
      <c r="M89" s="35" t="s">
        <v>9</v>
      </c>
      <c r="N89" s="34" t="s">
        <v>16692</v>
      </c>
      <c r="O89" s="35" t="s">
        <v>164</v>
      </c>
      <c r="P89" s="35" t="s">
        <v>2206</v>
      </c>
      <c r="Q89" s="2"/>
    </row>
    <row r="90" spans="1:17" ht="13.2" customHeight="1" x14ac:dyDescent="0.25">
      <c r="A90" s="33">
        <v>88</v>
      </c>
      <c r="B90" s="34" t="s">
        <v>16693</v>
      </c>
      <c r="C90" s="35"/>
      <c r="D90" s="34" t="s">
        <v>16694</v>
      </c>
      <c r="E90" s="34" t="s">
        <v>16695</v>
      </c>
      <c r="F90" s="34" t="s">
        <v>16696</v>
      </c>
      <c r="G90" s="34" t="s">
        <v>16697</v>
      </c>
      <c r="H90" s="34" t="s">
        <v>16698</v>
      </c>
      <c r="I90" s="33">
        <v>1</v>
      </c>
      <c r="J90" s="34" t="s">
        <v>16699</v>
      </c>
      <c r="K90" s="35"/>
      <c r="L90" s="34" t="s">
        <v>16098</v>
      </c>
      <c r="M90" s="35" t="s">
        <v>9</v>
      </c>
      <c r="N90" s="34" t="s">
        <v>16700</v>
      </c>
      <c r="O90" s="35" t="s">
        <v>164</v>
      </c>
      <c r="P90" s="35" t="s">
        <v>2206</v>
      </c>
      <c r="Q90" s="2"/>
    </row>
    <row r="91" spans="1:17" ht="13.2" customHeight="1" x14ac:dyDescent="0.25">
      <c r="A91" s="33">
        <v>89</v>
      </c>
      <c r="B91" s="34" t="s">
        <v>16701</v>
      </c>
      <c r="C91" s="35"/>
      <c r="D91" s="34" t="s">
        <v>16702</v>
      </c>
      <c r="E91" s="34" t="s">
        <v>16703</v>
      </c>
      <c r="F91" s="34" t="s">
        <v>16704</v>
      </c>
      <c r="G91" s="34" t="s">
        <v>16705</v>
      </c>
      <c r="H91" s="34" t="s">
        <v>16706</v>
      </c>
      <c r="I91" s="33">
        <v>1</v>
      </c>
      <c r="J91" s="34" t="s">
        <v>16707</v>
      </c>
      <c r="K91" s="35"/>
      <c r="L91" s="34" t="s">
        <v>16098</v>
      </c>
      <c r="M91" s="35" t="s">
        <v>9</v>
      </c>
      <c r="N91" s="34" t="s">
        <v>16708</v>
      </c>
      <c r="O91" s="35" t="s">
        <v>164</v>
      </c>
      <c r="P91" s="35" t="s">
        <v>2271</v>
      </c>
      <c r="Q91" s="2"/>
    </row>
    <row r="92" spans="1:17" ht="13.2" customHeight="1" x14ac:dyDescent="0.25">
      <c r="A92" s="33">
        <v>90</v>
      </c>
      <c r="B92" s="34" t="s">
        <v>16709</v>
      </c>
      <c r="C92" s="35"/>
      <c r="D92" s="34" t="s">
        <v>16710</v>
      </c>
      <c r="E92" s="34" t="s">
        <v>16711</v>
      </c>
      <c r="F92" s="34" t="s">
        <v>16712</v>
      </c>
      <c r="G92" s="34" t="s">
        <v>16713</v>
      </c>
      <c r="H92" s="34" t="s">
        <v>16714</v>
      </c>
      <c r="I92" s="33">
        <v>1</v>
      </c>
      <c r="J92" s="34" t="s">
        <v>16715</v>
      </c>
      <c r="K92" s="35"/>
      <c r="L92" s="34" t="s">
        <v>16098</v>
      </c>
      <c r="M92" s="35" t="s">
        <v>9</v>
      </c>
      <c r="N92" s="34" t="s">
        <v>16716</v>
      </c>
      <c r="O92" s="35" t="s">
        <v>164</v>
      </c>
      <c r="P92" s="35" t="s">
        <v>2271</v>
      </c>
    </row>
    <row r="93" spans="1:17" ht="13.2" customHeight="1" x14ac:dyDescent="0.25">
      <c r="A93" s="33">
        <v>91</v>
      </c>
      <c r="B93" s="34" t="s">
        <v>16717</v>
      </c>
      <c r="C93" s="35"/>
      <c r="D93" s="34" t="s">
        <v>16718</v>
      </c>
      <c r="E93" s="34" t="s">
        <v>10037</v>
      </c>
      <c r="F93" s="34" t="s">
        <v>16719</v>
      </c>
      <c r="G93" s="34" t="s">
        <v>15739</v>
      </c>
      <c r="H93" s="34" t="s">
        <v>16653</v>
      </c>
      <c r="I93" s="33">
        <v>1</v>
      </c>
      <c r="J93" s="34" t="s">
        <v>16720</v>
      </c>
      <c r="K93" s="35"/>
      <c r="L93" s="34" t="s">
        <v>16098</v>
      </c>
      <c r="M93" s="35" t="s">
        <v>9</v>
      </c>
      <c r="N93" s="34" t="s">
        <v>2236</v>
      </c>
      <c r="O93" s="35" t="s">
        <v>164</v>
      </c>
      <c r="P93" s="35" t="s">
        <v>2317</v>
      </c>
    </row>
    <row r="94" spans="1:17" ht="13.2" customHeight="1" x14ac:dyDescent="0.25">
      <c r="A94" s="33">
        <v>92</v>
      </c>
      <c r="B94" s="34" t="s">
        <v>16721</v>
      </c>
      <c r="C94" s="35"/>
      <c r="D94" s="34" t="s">
        <v>16722</v>
      </c>
      <c r="E94" s="34" t="s">
        <v>16723</v>
      </c>
      <c r="F94" s="34" t="s">
        <v>16724</v>
      </c>
      <c r="G94" s="34" t="s">
        <v>16725</v>
      </c>
      <c r="H94" s="34" t="s">
        <v>16726</v>
      </c>
      <c r="I94" s="33">
        <v>1</v>
      </c>
      <c r="J94" s="34" t="s">
        <v>16727</v>
      </c>
      <c r="K94" s="35"/>
      <c r="L94" s="34" t="s">
        <v>16098</v>
      </c>
      <c r="M94" s="35" t="s">
        <v>9</v>
      </c>
      <c r="N94" s="34" t="s">
        <v>2214</v>
      </c>
      <c r="O94" s="35" t="s">
        <v>164</v>
      </c>
      <c r="P94" s="35" t="s">
        <v>2317</v>
      </c>
    </row>
    <row r="95" spans="1:17" ht="13.2" customHeight="1" x14ac:dyDescent="0.25">
      <c r="A95" s="33">
        <v>93</v>
      </c>
      <c r="B95" s="34" t="s">
        <v>16728</v>
      </c>
      <c r="C95" s="35"/>
      <c r="D95" s="34" t="s">
        <v>16729</v>
      </c>
      <c r="E95" s="34" t="s">
        <v>16730</v>
      </c>
      <c r="F95" s="34" t="s">
        <v>16731</v>
      </c>
      <c r="G95" s="34" t="s">
        <v>16732</v>
      </c>
      <c r="H95" s="34" t="s">
        <v>16733</v>
      </c>
      <c r="I95" s="33">
        <v>1</v>
      </c>
      <c r="J95" s="34" t="s">
        <v>16734</v>
      </c>
      <c r="K95" s="35"/>
      <c r="L95" s="34" t="s">
        <v>16098</v>
      </c>
      <c r="M95" s="35" t="s">
        <v>9</v>
      </c>
      <c r="N95" s="34" t="s">
        <v>2214</v>
      </c>
      <c r="O95" s="35" t="s">
        <v>164</v>
      </c>
      <c r="P95" s="35" t="s">
        <v>2317</v>
      </c>
    </row>
    <row r="96" spans="1:17" ht="13.2" customHeight="1" x14ac:dyDescent="0.25">
      <c r="A96" s="33">
        <v>94</v>
      </c>
      <c r="B96" s="34" t="s">
        <v>16735</v>
      </c>
      <c r="C96" s="35"/>
      <c r="D96" s="34" t="s">
        <v>16736</v>
      </c>
      <c r="E96" s="34" t="s">
        <v>15199</v>
      </c>
      <c r="F96" s="34" t="s">
        <v>16737</v>
      </c>
      <c r="G96" s="34" t="s">
        <v>16738</v>
      </c>
      <c r="H96" s="34" t="s">
        <v>16739</v>
      </c>
      <c r="I96" s="33">
        <v>1</v>
      </c>
      <c r="J96" s="34" t="s">
        <v>16740</v>
      </c>
      <c r="K96" s="35"/>
      <c r="L96" s="34" t="s">
        <v>16209</v>
      </c>
      <c r="M96" s="35" t="s">
        <v>9</v>
      </c>
      <c r="N96" s="34" t="s">
        <v>2214</v>
      </c>
      <c r="O96" s="35" t="s">
        <v>164</v>
      </c>
      <c r="P96" s="35" t="s">
        <v>2317</v>
      </c>
    </row>
    <row r="97" spans="1:16" ht="13.2" customHeight="1" x14ac:dyDescent="0.25">
      <c r="A97" s="33">
        <v>95</v>
      </c>
      <c r="B97" s="34" t="s">
        <v>16741</v>
      </c>
      <c r="C97" s="35"/>
      <c r="D97" s="34" t="s">
        <v>16718</v>
      </c>
      <c r="E97" s="34" t="s">
        <v>10037</v>
      </c>
      <c r="F97" s="34" t="s">
        <v>16719</v>
      </c>
      <c r="G97" s="34" t="s">
        <v>16742</v>
      </c>
      <c r="H97" s="34" t="s">
        <v>16657</v>
      </c>
      <c r="I97" s="33">
        <v>1</v>
      </c>
      <c r="J97" s="34" t="s">
        <v>16743</v>
      </c>
      <c r="K97" s="35"/>
      <c r="L97" s="34" t="s">
        <v>16098</v>
      </c>
      <c r="M97" s="35" t="s">
        <v>9</v>
      </c>
      <c r="N97" s="34" t="s">
        <v>16744</v>
      </c>
      <c r="O97" s="35" t="s">
        <v>164</v>
      </c>
      <c r="P97" s="35" t="s">
        <v>2317</v>
      </c>
    </row>
    <row r="98" spans="1:16" ht="13.2" customHeight="1" x14ac:dyDescent="0.25">
      <c r="A98" s="35">
        <v>96</v>
      </c>
      <c r="B98" s="34" t="s">
        <v>16745</v>
      </c>
      <c r="C98" s="35"/>
      <c r="D98" s="34" t="s">
        <v>7597</v>
      </c>
      <c r="E98" s="34" t="s">
        <v>16746</v>
      </c>
      <c r="F98" s="34" t="s">
        <v>16747</v>
      </c>
      <c r="G98" s="34" t="s">
        <v>16642</v>
      </c>
      <c r="H98" s="34" t="s">
        <v>16748</v>
      </c>
      <c r="I98" s="35">
        <v>1</v>
      </c>
      <c r="J98" s="34" t="s">
        <v>16749</v>
      </c>
      <c r="K98" s="35"/>
      <c r="L98" s="34" t="s">
        <v>16098</v>
      </c>
      <c r="M98" s="35" t="s">
        <v>9</v>
      </c>
      <c r="N98" s="34" t="s">
        <v>16750</v>
      </c>
      <c r="O98" s="35" t="s">
        <v>164</v>
      </c>
      <c r="P98" s="35" t="s">
        <v>2317</v>
      </c>
    </row>
    <row r="99" spans="1:16" ht="13.2" customHeight="1" x14ac:dyDescent="0.25">
      <c r="A99" s="35">
        <v>97</v>
      </c>
      <c r="B99" s="34" t="s">
        <v>16751</v>
      </c>
      <c r="C99" s="35"/>
      <c r="D99" s="34" t="s">
        <v>16752</v>
      </c>
      <c r="E99" s="34" t="s">
        <v>16753</v>
      </c>
      <c r="F99" s="34" t="s">
        <v>16754</v>
      </c>
      <c r="G99" s="34" t="s">
        <v>16755</v>
      </c>
      <c r="H99" s="34" t="s">
        <v>16756</v>
      </c>
      <c r="I99" s="35">
        <v>1</v>
      </c>
      <c r="J99" s="34" t="s">
        <v>16757</v>
      </c>
      <c r="K99" s="35"/>
      <c r="L99" s="34" t="s">
        <v>16098</v>
      </c>
      <c r="M99" s="35" t="s">
        <v>9</v>
      </c>
      <c r="N99" s="34" t="s">
        <v>16758</v>
      </c>
      <c r="O99" s="35" t="s">
        <v>164</v>
      </c>
      <c r="P99" s="35" t="s">
        <v>2436</v>
      </c>
    </row>
    <row r="100" spans="1:16" ht="13.2" customHeight="1" x14ac:dyDescent="0.25">
      <c r="A100" s="35">
        <v>98</v>
      </c>
      <c r="B100" s="34" t="s">
        <v>16759</v>
      </c>
      <c r="C100" s="35"/>
      <c r="D100" s="34" t="s">
        <v>16760</v>
      </c>
      <c r="E100" s="34" t="s">
        <v>16761</v>
      </c>
      <c r="F100" s="34" t="s">
        <v>16762</v>
      </c>
      <c r="G100" s="34" t="s">
        <v>16763</v>
      </c>
      <c r="H100" s="34" t="s">
        <v>16764</v>
      </c>
      <c r="I100" s="35">
        <v>1</v>
      </c>
      <c r="J100" s="34" t="s">
        <v>16765</v>
      </c>
      <c r="K100" s="35"/>
      <c r="L100" s="34" t="s">
        <v>16098</v>
      </c>
      <c r="M100" s="35" t="s">
        <v>9</v>
      </c>
      <c r="N100" s="34" t="s">
        <v>16766</v>
      </c>
      <c r="O100" s="35" t="s">
        <v>164</v>
      </c>
      <c r="P100" s="35" t="s">
        <v>2514</v>
      </c>
    </row>
    <row r="101" spans="1:16" ht="13.2" customHeight="1" x14ac:dyDescent="0.25">
      <c r="A101" s="35">
        <v>99</v>
      </c>
      <c r="B101" s="34" t="s">
        <v>16767</v>
      </c>
      <c r="C101" s="35"/>
      <c r="D101" s="34" t="s">
        <v>16629</v>
      </c>
      <c r="E101" s="34" t="s">
        <v>16630</v>
      </c>
      <c r="F101" s="34" t="s">
        <v>16653</v>
      </c>
      <c r="G101" s="34" t="s">
        <v>16657</v>
      </c>
      <c r="H101" s="34" t="s">
        <v>16641</v>
      </c>
      <c r="I101" s="35">
        <v>1</v>
      </c>
      <c r="J101" s="34" t="s">
        <v>16768</v>
      </c>
      <c r="K101" s="35"/>
      <c r="L101" s="34" t="s">
        <v>16098</v>
      </c>
      <c r="M101" s="35" t="s">
        <v>9</v>
      </c>
      <c r="N101" s="34" t="s">
        <v>2356</v>
      </c>
      <c r="O101" s="35" t="s">
        <v>164</v>
      </c>
      <c r="P101" s="35" t="s">
        <v>2514</v>
      </c>
    </row>
    <row r="102" spans="1:16" ht="13.2" customHeight="1" x14ac:dyDescent="0.25">
      <c r="A102" s="35">
        <v>100</v>
      </c>
      <c r="B102" s="34" t="s">
        <v>16769</v>
      </c>
      <c r="C102" s="35"/>
      <c r="D102" s="34" t="s">
        <v>16657</v>
      </c>
      <c r="E102" s="34" t="s">
        <v>16641</v>
      </c>
      <c r="F102" s="34" t="s">
        <v>16642</v>
      </c>
      <c r="G102" s="34" t="s">
        <v>16550</v>
      </c>
      <c r="H102" s="34" t="s">
        <v>16551</v>
      </c>
      <c r="I102" s="35">
        <v>1</v>
      </c>
      <c r="J102" s="34" t="s">
        <v>16770</v>
      </c>
      <c r="K102" s="35"/>
      <c r="L102" s="34" t="s">
        <v>16098</v>
      </c>
      <c r="M102" s="35" t="s">
        <v>9</v>
      </c>
      <c r="N102" s="34" t="s">
        <v>2361</v>
      </c>
      <c r="O102" s="35" t="s">
        <v>164</v>
      </c>
      <c r="P102" s="35" t="s">
        <v>2514</v>
      </c>
    </row>
    <row r="103" spans="1:16" ht="13.2" customHeight="1" x14ac:dyDescent="0.25">
      <c r="A103" s="35">
        <v>101</v>
      </c>
      <c r="B103" s="34" t="s">
        <v>16771</v>
      </c>
      <c r="C103" s="35"/>
      <c r="D103" s="34" t="s">
        <v>16772</v>
      </c>
      <c r="E103" s="34" t="s">
        <v>16773</v>
      </c>
      <c r="F103" s="34" t="s">
        <v>16774</v>
      </c>
      <c r="G103" s="34" t="s">
        <v>16775</v>
      </c>
      <c r="H103" s="34" t="s">
        <v>16776</v>
      </c>
      <c r="I103" s="35">
        <v>1</v>
      </c>
      <c r="J103" s="34" t="s">
        <v>16777</v>
      </c>
      <c r="K103" s="35"/>
      <c r="L103" s="34" t="s">
        <v>16098</v>
      </c>
      <c r="M103" s="35" t="s">
        <v>9</v>
      </c>
      <c r="N103" s="34" t="s">
        <v>16778</v>
      </c>
      <c r="O103" s="35" t="s">
        <v>164</v>
      </c>
      <c r="P103" s="35" t="s">
        <v>2514</v>
      </c>
    </row>
    <row r="104" spans="1:16" ht="13.2" customHeight="1" x14ac:dyDescent="0.25">
      <c r="A104" s="35">
        <v>102</v>
      </c>
      <c r="B104" s="34" t="s">
        <v>16779</v>
      </c>
      <c r="C104" s="35"/>
      <c r="D104" s="34" t="s">
        <v>16780</v>
      </c>
      <c r="E104" s="34" t="s">
        <v>16781</v>
      </c>
      <c r="F104" s="34" t="s">
        <v>16782</v>
      </c>
      <c r="G104" s="34" t="s">
        <v>16783</v>
      </c>
      <c r="H104" s="34" t="s">
        <v>781</v>
      </c>
      <c r="I104" s="35">
        <v>1</v>
      </c>
      <c r="J104" s="34" t="s">
        <v>16784</v>
      </c>
      <c r="K104" s="35"/>
      <c r="L104" s="34" t="s">
        <v>16098</v>
      </c>
      <c r="M104" s="35" t="s">
        <v>9</v>
      </c>
      <c r="N104" s="34" t="s">
        <v>16785</v>
      </c>
      <c r="O104" s="35" t="s">
        <v>816</v>
      </c>
      <c r="P104" s="35" t="s">
        <v>2629</v>
      </c>
    </row>
    <row r="105" spans="1:16" ht="13.2" customHeight="1" x14ac:dyDescent="0.25">
      <c r="A105" s="35">
        <v>103</v>
      </c>
      <c r="B105" s="34" t="s">
        <v>16786</v>
      </c>
      <c r="C105" s="35"/>
      <c r="D105" s="34" t="s">
        <v>16787</v>
      </c>
      <c r="E105" s="34" t="s">
        <v>9825</v>
      </c>
      <c r="F105" s="34" t="s">
        <v>15084</v>
      </c>
      <c r="G105" s="34" t="s">
        <v>2208</v>
      </c>
      <c r="H105" s="34" t="s">
        <v>16142</v>
      </c>
      <c r="I105" s="35">
        <v>1</v>
      </c>
      <c r="J105" s="34" t="s">
        <v>16788</v>
      </c>
      <c r="K105" s="35"/>
      <c r="L105" s="34" t="s">
        <v>16098</v>
      </c>
      <c r="M105" s="35" t="s">
        <v>9</v>
      </c>
      <c r="N105" s="34" t="s">
        <v>16789</v>
      </c>
      <c r="O105" s="35" t="s">
        <v>816</v>
      </c>
      <c r="P105" s="35" t="s">
        <v>2629</v>
      </c>
    </row>
    <row r="106" spans="1:16" ht="13.2" customHeight="1" x14ac:dyDescent="0.25">
      <c r="A106" s="35">
        <v>104</v>
      </c>
      <c r="B106" s="34" t="s">
        <v>16790</v>
      </c>
      <c r="C106" s="35"/>
      <c r="D106" s="34" t="s">
        <v>16791</v>
      </c>
      <c r="E106" s="34" t="s">
        <v>16792</v>
      </c>
      <c r="F106" s="34" t="s">
        <v>16793</v>
      </c>
      <c r="G106" s="34" t="s">
        <v>16794</v>
      </c>
      <c r="H106" s="34" t="s">
        <v>16795</v>
      </c>
      <c r="I106" s="35">
        <v>1</v>
      </c>
      <c r="J106" s="34" t="s">
        <v>16796</v>
      </c>
      <c r="K106" s="35"/>
      <c r="L106" s="34" t="s">
        <v>16098</v>
      </c>
      <c r="M106" s="35" t="s">
        <v>9</v>
      </c>
      <c r="N106" s="34" t="s">
        <v>16797</v>
      </c>
      <c r="O106" s="35" t="s">
        <v>816</v>
      </c>
      <c r="P106" s="35" t="s">
        <v>2629</v>
      </c>
    </row>
    <row r="107" spans="1:16" ht="13.2" customHeight="1" x14ac:dyDescent="0.25">
      <c r="A107" s="35">
        <v>105</v>
      </c>
      <c r="B107" s="34" t="s">
        <v>16798</v>
      </c>
      <c r="C107" s="35"/>
      <c r="D107" s="34" t="s">
        <v>16799</v>
      </c>
      <c r="E107" s="34" t="s">
        <v>16800</v>
      </c>
      <c r="F107" s="34" t="s">
        <v>16801</v>
      </c>
      <c r="G107" s="34" t="s">
        <v>16802</v>
      </c>
      <c r="H107" s="34" t="s">
        <v>5525</v>
      </c>
      <c r="I107" s="35">
        <v>1</v>
      </c>
      <c r="J107" s="34" t="s">
        <v>16803</v>
      </c>
      <c r="K107" s="35"/>
      <c r="L107" s="34" t="s">
        <v>16098</v>
      </c>
      <c r="M107" s="35" t="s">
        <v>9</v>
      </c>
      <c r="N107" s="34" t="s">
        <v>16804</v>
      </c>
      <c r="O107" s="35" t="s">
        <v>816</v>
      </c>
      <c r="P107" s="35" t="s">
        <v>2629</v>
      </c>
    </row>
    <row r="108" spans="1:16" ht="13.2" customHeight="1" x14ac:dyDescent="0.25">
      <c r="A108" s="35">
        <v>106</v>
      </c>
      <c r="B108" s="34" t="s">
        <v>16805</v>
      </c>
      <c r="C108" s="35"/>
      <c r="D108" s="34" t="s">
        <v>9825</v>
      </c>
      <c r="E108" s="34" t="s">
        <v>16629</v>
      </c>
      <c r="F108" s="34" t="s">
        <v>16630</v>
      </c>
      <c r="G108" s="34" t="s">
        <v>16653</v>
      </c>
      <c r="H108" s="34" t="s">
        <v>16657</v>
      </c>
      <c r="I108" s="35">
        <v>1</v>
      </c>
      <c r="J108" s="34" t="s">
        <v>16806</v>
      </c>
      <c r="K108" s="35"/>
      <c r="L108" s="34" t="s">
        <v>16098</v>
      </c>
      <c r="M108" s="35" t="s">
        <v>9</v>
      </c>
      <c r="N108" s="34" t="s">
        <v>11976</v>
      </c>
      <c r="O108" s="35" t="s">
        <v>164</v>
      </c>
      <c r="P108" s="35" t="s">
        <v>3561</v>
      </c>
    </row>
    <row r="109" spans="1:16" ht="13.2" customHeight="1" x14ac:dyDescent="0.25">
      <c r="A109" s="35">
        <v>107</v>
      </c>
      <c r="B109" s="34" t="s">
        <v>16807</v>
      </c>
      <c r="C109" s="35"/>
      <c r="D109" s="34" t="s">
        <v>16653</v>
      </c>
      <c r="E109" s="34" t="s">
        <v>16657</v>
      </c>
      <c r="F109" s="34" t="s">
        <v>16641</v>
      </c>
      <c r="G109" s="34" t="s">
        <v>16642</v>
      </c>
      <c r="H109" s="34" t="s">
        <v>16550</v>
      </c>
      <c r="I109" s="35">
        <v>1</v>
      </c>
      <c r="J109" s="34" t="s">
        <v>16808</v>
      </c>
      <c r="K109" s="35"/>
      <c r="L109" s="34" t="s">
        <v>16098</v>
      </c>
      <c r="M109" s="35" t="s">
        <v>9</v>
      </c>
      <c r="N109" s="34" t="s">
        <v>16809</v>
      </c>
      <c r="O109" s="35" t="s">
        <v>164</v>
      </c>
      <c r="P109" s="35" t="s">
        <v>3561</v>
      </c>
    </row>
    <row r="110" spans="1:16" ht="13.2" customHeight="1" x14ac:dyDescent="0.25">
      <c r="A110" s="35">
        <v>108</v>
      </c>
      <c r="B110" s="34" t="s">
        <v>16810</v>
      </c>
      <c r="C110" s="35"/>
      <c r="D110" s="34" t="s">
        <v>16642</v>
      </c>
      <c r="E110" s="34" t="s">
        <v>16550</v>
      </c>
      <c r="F110" s="34" t="s">
        <v>16551</v>
      </c>
      <c r="G110" s="34" t="s">
        <v>16197</v>
      </c>
      <c r="H110" s="34" t="s">
        <v>16198</v>
      </c>
      <c r="I110" s="35">
        <v>1</v>
      </c>
      <c r="J110" s="34" t="s">
        <v>16811</v>
      </c>
      <c r="K110" s="35"/>
      <c r="L110" s="34" t="s">
        <v>16098</v>
      </c>
      <c r="M110" s="35" t="s">
        <v>9</v>
      </c>
      <c r="N110" s="34" t="s">
        <v>16812</v>
      </c>
      <c r="O110" s="35" t="s">
        <v>164</v>
      </c>
      <c r="P110" s="35" t="s">
        <v>3561</v>
      </c>
    </row>
    <row r="111" spans="1:16" ht="13.2" customHeight="1" x14ac:dyDescent="0.25">
      <c r="A111" s="35">
        <v>109</v>
      </c>
      <c r="B111" s="34" t="s">
        <v>16813</v>
      </c>
      <c r="C111" s="35"/>
      <c r="D111" s="34" t="s">
        <v>16197</v>
      </c>
      <c r="E111" s="34" t="s">
        <v>16198</v>
      </c>
      <c r="F111" s="34" t="s">
        <v>9825</v>
      </c>
      <c r="G111" s="34" t="s">
        <v>16629</v>
      </c>
      <c r="H111" s="34" t="s">
        <v>16630</v>
      </c>
      <c r="I111" s="35">
        <v>1</v>
      </c>
      <c r="J111" s="34" t="s">
        <v>16814</v>
      </c>
      <c r="K111" s="35"/>
      <c r="L111" s="34" t="s">
        <v>16189</v>
      </c>
      <c r="M111" s="35" t="s">
        <v>9</v>
      </c>
      <c r="N111" s="34" t="s">
        <v>16815</v>
      </c>
      <c r="O111" s="35" t="s">
        <v>164</v>
      </c>
      <c r="P111" s="35" t="s">
        <v>3561</v>
      </c>
    </row>
    <row r="112" spans="1:16" ht="13.2" customHeight="1" x14ac:dyDescent="0.25">
      <c r="A112" s="35">
        <v>110</v>
      </c>
      <c r="B112" s="34" t="s">
        <v>16816</v>
      </c>
      <c r="C112" s="35"/>
      <c r="D112" s="34" t="s">
        <v>16629</v>
      </c>
      <c r="E112" s="34" t="s">
        <v>16630</v>
      </c>
      <c r="F112" s="34" t="s">
        <v>16653</v>
      </c>
      <c r="G112" s="34" t="s">
        <v>16657</v>
      </c>
      <c r="H112" s="34" t="s">
        <v>16641</v>
      </c>
      <c r="I112" s="35">
        <v>1</v>
      </c>
      <c r="J112" s="34" t="s">
        <v>16817</v>
      </c>
      <c r="K112" s="35"/>
      <c r="L112" s="34" t="s">
        <v>16274</v>
      </c>
      <c r="M112" s="35" t="s">
        <v>9</v>
      </c>
      <c r="N112" s="34" t="s">
        <v>9866</v>
      </c>
      <c r="O112" s="35" t="s">
        <v>164</v>
      </c>
      <c r="P112" s="35" t="s">
        <v>3561</v>
      </c>
    </row>
    <row r="113" spans="1:16" ht="13.2" customHeight="1" x14ac:dyDescent="0.25">
      <c r="A113" s="35">
        <v>111</v>
      </c>
      <c r="B113" s="34" t="s">
        <v>16818</v>
      </c>
      <c r="C113" s="35"/>
      <c r="D113" s="34" t="s">
        <v>16819</v>
      </c>
      <c r="E113" s="34" t="s">
        <v>16641</v>
      </c>
      <c r="F113" s="34" t="s">
        <v>16642</v>
      </c>
      <c r="G113" s="34" t="s">
        <v>16550</v>
      </c>
      <c r="H113" s="34" t="s">
        <v>16551</v>
      </c>
      <c r="I113" s="35">
        <v>1</v>
      </c>
      <c r="J113" s="34" t="s">
        <v>16820</v>
      </c>
      <c r="K113" s="35"/>
      <c r="L113" s="34" t="s">
        <v>16098</v>
      </c>
      <c r="M113" s="35" t="s">
        <v>9</v>
      </c>
      <c r="N113" s="34" t="s">
        <v>4983</v>
      </c>
      <c r="O113" s="35" t="s">
        <v>164</v>
      </c>
      <c r="P113" s="35" t="s">
        <v>2705</v>
      </c>
    </row>
    <row r="114" spans="1:16" ht="13.2" customHeight="1" x14ac:dyDescent="0.25">
      <c r="A114" s="35">
        <v>112</v>
      </c>
      <c r="B114" s="34" t="s">
        <v>16821</v>
      </c>
      <c r="C114" s="35"/>
      <c r="D114" s="34" t="s">
        <v>16822</v>
      </c>
      <c r="E114" s="34" t="s">
        <v>16823</v>
      </c>
      <c r="F114" s="34" t="s">
        <v>16459</v>
      </c>
      <c r="G114" s="34" t="s">
        <v>16824</v>
      </c>
      <c r="H114" s="34" t="s">
        <v>16825</v>
      </c>
      <c r="I114" s="35">
        <v>1</v>
      </c>
      <c r="J114" s="34" t="s">
        <v>16826</v>
      </c>
      <c r="K114" s="35"/>
      <c r="L114" s="34" t="s">
        <v>16098</v>
      </c>
      <c r="M114" s="35" t="s">
        <v>9</v>
      </c>
      <c r="N114" s="34" t="s">
        <v>16827</v>
      </c>
      <c r="O114" s="35" t="s">
        <v>164</v>
      </c>
      <c r="P114" s="35" t="s">
        <v>2706</v>
      </c>
    </row>
    <row r="115" spans="1:16" ht="13.2" customHeight="1" x14ac:dyDescent="0.25">
      <c r="A115" s="35">
        <v>113</v>
      </c>
      <c r="B115" s="34" t="s">
        <v>16828</v>
      </c>
      <c r="C115" s="35"/>
      <c r="D115" s="34" t="s">
        <v>16829</v>
      </c>
      <c r="E115" s="34" t="s">
        <v>16830</v>
      </c>
      <c r="F115" s="34" t="s">
        <v>16831</v>
      </c>
      <c r="G115" s="34" t="s">
        <v>16832</v>
      </c>
      <c r="H115" s="34" t="s">
        <v>16833</v>
      </c>
      <c r="I115" s="35">
        <v>1</v>
      </c>
      <c r="J115" s="34" t="s">
        <v>16834</v>
      </c>
      <c r="K115" s="35"/>
      <c r="L115" s="34" t="s">
        <v>16098</v>
      </c>
      <c r="M115" s="35" t="s">
        <v>9</v>
      </c>
      <c r="N115" s="34" t="s">
        <v>16835</v>
      </c>
      <c r="O115" s="35" t="s">
        <v>164</v>
      </c>
      <c r="P115" s="35" t="s">
        <v>2706</v>
      </c>
    </row>
    <row r="116" spans="1:16" ht="13.2" customHeight="1" x14ac:dyDescent="0.25">
      <c r="A116" s="35">
        <v>114</v>
      </c>
      <c r="B116" s="34" t="s">
        <v>16836</v>
      </c>
      <c r="C116" s="35"/>
      <c r="D116" s="34" t="s">
        <v>16837</v>
      </c>
      <c r="E116" s="34" t="s">
        <v>16838</v>
      </c>
      <c r="F116" s="34" t="s">
        <v>16839</v>
      </c>
      <c r="G116" s="34" t="s">
        <v>16840</v>
      </c>
      <c r="H116" s="34" t="s">
        <v>16841</v>
      </c>
      <c r="I116" s="35">
        <v>1</v>
      </c>
      <c r="J116" s="34" t="s">
        <v>16842</v>
      </c>
      <c r="K116" s="35"/>
      <c r="L116" s="34" t="s">
        <v>16098</v>
      </c>
      <c r="M116" s="35" t="s">
        <v>9</v>
      </c>
      <c r="N116" s="34" t="s">
        <v>16843</v>
      </c>
      <c r="O116" s="35" t="s">
        <v>164</v>
      </c>
      <c r="P116" s="35" t="s">
        <v>2706</v>
      </c>
    </row>
    <row r="117" spans="1:16" ht="13.2" customHeight="1" x14ac:dyDescent="0.25">
      <c r="A117" s="35">
        <v>115</v>
      </c>
      <c r="B117" s="34" t="s">
        <v>16844</v>
      </c>
      <c r="C117" s="35"/>
      <c r="D117" s="34" t="s">
        <v>11990</v>
      </c>
      <c r="E117" s="34" t="s">
        <v>9868</v>
      </c>
      <c r="F117" s="34" t="s">
        <v>11991</v>
      </c>
      <c r="G117" s="34" t="s">
        <v>9869</v>
      </c>
      <c r="H117" s="34" t="s">
        <v>16845</v>
      </c>
      <c r="I117" s="35">
        <v>1</v>
      </c>
      <c r="J117" s="34" t="s">
        <v>16846</v>
      </c>
      <c r="K117" s="35"/>
      <c r="L117" s="34" t="s">
        <v>16098</v>
      </c>
      <c r="M117" s="35" t="s">
        <v>9</v>
      </c>
      <c r="N117" s="34" t="s">
        <v>16847</v>
      </c>
      <c r="O117" s="35" t="s">
        <v>164</v>
      </c>
      <c r="P117" s="35" t="s">
        <v>2706</v>
      </c>
    </row>
    <row r="118" spans="1:16" ht="13.2" customHeight="1" x14ac:dyDescent="0.25">
      <c r="A118" s="35">
        <v>116</v>
      </c>
      <c r="B118" s="34" t="s">
        <v>16848</v>
      </c>
      <c r="C118" s="35"/>
      <c r="D118" s="34" t="s">
        <v>16551</v>
      </c>
      <c r="E118" s="34" t="s">
        <v>16197</v>
      </c>
      <c r="F118" s="34" t="s">
        <v>16198</v>
      </c>
      <c r="G118" s="34" t="s">
        <v>9825</v>
      </c>
      <c r="H118" s="34" t="s">
        <v>16629</v>
      </c>
      <c r="I118" s="35">
        <v>1</v>
      </c>
      <c r="J118" s="34" t="s">
        <v>16849</v>
      </c>
      <c r="K118" s="35"/>
      <c r="L118" s="34" t="s">
        <v>16098</v>
      </c>
      <c r="M118" s="35" t="s">
        <v>9</v>
      </c>
      <c r="N118" s="34" t="s">
        <v>3603</v>
      </c>
      <c r="O118" s="35" t="s">
        <v>164</v>
      </c>
      <c r="P118" s="35" t="s">
        <v>2706</v>
      </c>
    </row>
    <row r="119" spans="1:16" ht="13.2" customHeight="1" x14ac:dyDescent="0.25">
      <c r="A119" s="35">
        <v>117</v>
      </c>
      <c r="B119" s="34" t="s">
        <v>16850</v>
      </c>
      <c r="C119" s="35"/>
      <c r="D119" s="34" t="s">
        <v>9825</v>
      </c>
      <c r="E119" s="34" t="s">
        <v>16629</v>
      </c>
      <c r="F119" s="34" t="s">
        <v>16630</v>
      </c>
      <c r="G119" s="34" t="s">
        <v>16653</v>
      </c>
      <c r="H119" s="34" t="s">
        <v>16657</v>
      </c>
      <c r="I119" s="35">
        <v>1</v>
      </c>
      <c r="J119" s="34" t="s">
        <v>16851</v>
      </c>
      <c r="K119" s="35"/>
      <c r="L119" s="34" t="s">
        <v>16098</v>
      </c>
      <c r="M119" s="35" t="s">
        <v>9</v>
      </c>
      <c r="N119" s="34" t="s">
        <v>7452</v>
      </c>
      <c r="O119" s="35" t="s">
        <v>164</v>
      </c>
      <c r="P119" s="35" t="s">
        <v>2706</v>
      </c>
    </row>
    <row r="120" spans="1:16" ht="13.2" customHeight="1" x14ac:dyDescent="0.25">
      <c r="A120" s="35">
        <v>118</v>
      </c>
      <c r="B120" s="34" t="s">
        <v>16852</v>
      </c>
      <c r="C120" s="35"/>
      <c r="D120" s="34" t="s">
        <v>16653</v>
      </c>
      <c r="E120" s="34" t="s">
        <v>16657</v>
      </c>
      <c r="F120" s="34" t="s">
        <v>16641</v>
      </c>
      <c r="G120" s="34" t="s">
        <v>16642</v>
      </c>
      <c r="H120" s="34" t="s">
        <v>16550</v>
      </c>
      <c r="I120" s="35">
        <v>1</v>
      </c>
      <c r="J120" s="34" t="s">
        <v>16853</v>
      </c>
      <c r="K120" s="35"/>
      <c r="L120" s="34" t="s">
        <v>16098</v>
      </c>
      <c r="M120" s="35" t="s">
        <v>9</v>
      </c>
      <c r="N120" s="34" t="s">
        <v>9020</v>
      </c>
      <c r="O120" s="35" t="s">
        <v>164</v>
      </c>
      <c r="P120" s="35" t="s">
        <v>2706</v>
      </c>
    </row>
    <row r="121" spans="1:16" ht="13.2" customHeight="1" x14ac:dyDescent="0.25">
      <c r="A121" s="35">
        <v>119</v>
      </c>
      <c r="B121" s="34" t="s">
        <v>16854</v>
      </c>
      <c r="C121" s="35"/>
      <c r="D121" s="34" t="s">
        <v>16642</v>
      </c>
      <c r="E121" s="34" t="s">
        <v>16550</v>
      </c>
      <c r="F121" s="34" t="s">
        <v>16551</v>
      </c>
      <c r="G121" s="34" t="s">
        <v>16197</v>
      </c>
      <c r="H121" s="34" t="s">
        <v>16198</v>
      </c>
      <c r="I121" s="35">
        <v>1</v>
      </c>
      <c r="J121" s="34" t="s">
        <v>16811</v>
      </c>
      <c r="K121" s="35"/>
      <c r="L121" s="34" t="s">
        <v>16098</v>
      </c>
      <c r="M121" s="35" t="s">
        <v>9</v>
      </c>
      <c r="N121" s="34" t="s">
        <v>6873</v>
      </c>
      <c r="O121" s="35" t="s">
        <v>164</v>
      </c>
      <c r="P121" s="35" t="s">
        <v>2706</v>
      </c>
    </row>
    <row r="122" spans="1:16" ht="13.2" customHeight="1" x14ac:dyDescent="0.25">
      <c r="A122" s="35">
        <v>120</v>
      </c>
      <c r="B122" s="34" t="s">
        <v>16855</v>
      </c>
      <c r="C122" s="35"/>
      <c r="D122" s="34" t="s">
        <v>16197</v>
      </c>
      <c r="E122" s="34" t="s">
        <v>16198</v>
      </c>
      <c r="F122" s="34" t="s">
        <v>9825</v>
      </c>
      <c r="G122" s="34" t="s">
        <v>16629</v>
      </c>
      <c r="H122" s="34" t="s">
        <v>16630</v>
      </c>
      <c r="I122" s="35">
        <v>1</v>
      </c>
      <c r="J122" s="34" t="s">
        <v>16856</v>
      </c>
      <c r="K122" s="35"/>
      <c r="L122" s="34" t="s">
        <v>16098</v>
      </c>
      <c r="M122" s="35" t="s">
        <v>9</v>
      </c>
      <c r="N122" s="34" t="s">
        <v>3595</v>
      </c>
      <c r="O122" s="35" t="s">
        <v>164</v>
      </c>
      <c r="P122" s="35" t="s">
        <v>2706</v>
      </c>
    </row>
    <row r="123" spans="1:16" ht="13.2" customHeight="1" x14ac:dyDescent="0.25">
      <c r="A123" s="35">
        <v>121</v>
      </c>
      <c r="B123" s="34" t="s">
        <v>16857</v>
      </c>
      <c r="C123" s="35"/>
      <c r="D123" s="34" t="s">
        <v>16629</v>
      </c>
      <c r="E123" s="34" t="s">
        <v>16630</v>
      </c>
      <c r="F123" s="34" t="s">
        <v>16653</v>
      </c>
      <c r="G123" s="34" t="s">
        <v>16657</v>
      </c>
      <c r="H123" s="34" t="s">
        <v>16641</v>
      </c>
      <c r="I123" s="35">
        <v>1</v>
      </c>
      <c r="J123" s="34" t="s">
        <v>16768</v>
      </c>
      <c r="K123" s="35"/>
      <c r="L123" s="34" t="s">
        <v>16098</v>
      </c>
      <c r="M123" s="35" t="s">
        <v>9</v>
      </c>
      <c r="N123" s="34" t="s">
        <v>3603</v>
      </c>
      <c r="O123" s="35" t="s">
        <v>164</v>
      </c>
      <c r="P123" s="35" t="s">
        <v>2706</v>
      </c>
    </row>
    <row r="124" spans="1:16" ht="13.2" customHeight="1" x14ac:dyDescent="0.25">
      <c r="A124" s="35">
        <v>122</v>
      </c>
      <c r="B124" s="34" t="s">
        <v>16858</v>
      </c>
      <c r="C124" s="35"/>
      <c r="D124" s="34" t="s">
        <v>16657</v>
      </c>
      <c r="E124" s="34" t="s">
        <v>16641</v>
      </c>
      <c r="F124" s="34" t="s">
        <v>16642</v>
      </c>
      <c r="G124" s="34" t="s">
        <v>16550</v>
      </c>
      <c r="H124" s="34" t="s">
        <v>16551</v>
      </c>
      <c r="I124" s="35">
        <v>1</v>
      </c>
      <c r="J124" s="34" t="s">
        <v>16770</v>
      </c>
      <c r="K124" s="35"/>
      <c r="L124" s="34" t="s">
        <v>16098</v>
      </c>
      <c r="M124" s="35" t="s">
        <v>9</v>
      </c>
      <c r="N124" s="34" t="s">
        <v>16859</v>
      </c>
      <c r="O124" s="35" t="s">
        <v>164</v>
      </c>
      <c r="P124" s="35" t="s">
        <v>2706</v>
      </c>
    </row>
    <row r="125" spans="1:16" ht="13.2" customHeight="1" x14ac:dyDescent="0.25">
      <c r="A125" s="35">
        <v>123</v>
      </c>
      <c r="B125" s="34" t="s">
        <v>16860</v>
      </c>
      <c r="C125" s="35"/>
      <c r="D125" s="34" t="s">
        <v>16550</v>
      </c>
      <c r="E125" s="34" t="s">
        <v>16551</v>
      </c>
      <c r="F125" s="34" t="s">
        <v>16197</v>
      </c>
      <c r="G125" s="34" t="s">
        <v>16198</v>
      </c>
      <c r="H125" s="34" t="s">
        <v>9825</v>
      </c>
      <c r="I125" s="35">
        <v>1</v>
      </c>
      <c r="J125" s="34" t="s">
        <v>16861</v>
      </c>
      <c r="K125" s="35"/>
      <c r="L125" s="34" t="s">
        <v>16098</v>
      </c>
      <c r="M125" s="35" t="s">
        <v>9</v>
      </c>
      <c r="N125" s="34" t="s">
        <v>3595</v>
      </c>
      <c r="O125" s="35" t="s">
        <v>164</v>
      </c>
      <c r="P125" s="35" t="s">
        <v>2706</v>
      </c>
    </row>
    <row r="126" spans="1:16" ht="13.2" customHeight="1" x14ac:dyDescent="0.25">
      <c r="A126" s="35">
        <v>124</v>
      </c>
      <c r="B126" s="34" t="s">
        <v>16142</v>
      </c>
      <c r="C126" s="35"/>
      <c r="D126" s="34" t="s">
        <v>16198</v>
      </c>
      <c r="E126" s="34" t="s">
        <v>9825</v>
      </c>
      <c r="F126" s="34" t="s">
        <v>16629</v>
      </c>
      <c r="G126" s="34" t="s">
        <v>16630</v>
      </c>
      <c r="H126" s="34" t="s">
        <v>16653</v>
      </c>
      <c r="I126" s="35">
        <v>1</v>
      </c>
      <c r="J126" s="34" t="s">
        <v>16862</v>
      </c>
      <c r="K126" s="35"/>
      <c r="L126" s="34" t="s">
        <v>16098</v>
      </c>
      <c r="M126" s="35" t="s">
        <v>9</v>
      </c>
      <c r="N126" s="34" t="s">
        <v>9020</v>
      </c>
      <c r="O126" s="35" t="s">
        <v>164</v>
      </c>
      <c r="P126" s="35" t="s">
        <v>2706</v>
      </c>
    </row>
    <row r="127" spans="1:16" ht="13.2" customHeight="1" x14ac:dyDescent="0.25">
      <c r="A127" s="35">
        <v>125</v>
      </c>
      <c r="B127" s="34" t="s">
        <v>16863</v>
      </c>
      <c r="C127" s="35"/>
      <c r="D127" s="34" t="s">
        <v>16864</v>
      </c>
      <c r="E127" s="34" t="s">
        <v>16653</v>
      </c>
      <c r="F127" s="34" t="s">
        <v>16657</v>
      </c>
      <c r="G127" s="34" t="s">
        <v>16641</v>
      </c>
      <c r="H127" s="34" t="s">
        <v>16642</v>
      </c>
      <c r="I127" s="35">
        <v>1</v>
      </c>
      <c r="J127" s="34" t="s">
        <v>16865</v>
      </c>
      <c r="K127" s="35"/>
      <c r="L127" s="34" t="s">
        <v>16098</v>
      </c>
      <c r="M127" s="35" t="s">
        <v>9</v>
      </c>
      <c r="N127" s="34" t="s">
        <v>3595</v>
      </c>
      <c r="O127" s="35" t="s">
        <v>164</v>
      </c>
      <c r="P127" s="35" t="s">
        <v>2706</v>
      </c>
    </row>
    <row r="128" spans="1:16" ht="13.2" customHeight="1" x14ac:dyDescent="0.25">
      <c r="A128" s="35">
        <v>126</v>
      </c>
      <c r="B128" s="34" t="s">
        <v>16866</v>
      </c>
      <c r="C128" s="35"/>
      <c r="D128" s="34" t="s">
        <v>16641</v>
      </c>
      <c r="E128" s="34" t="s">
        <v>16642</v>
      </c>
      <c r="F128" s="34" t="s">
        <v>16550</v>
      </c>
      <c r="G128" s="34" t="s">
        <v>16551</v>
      </c>
      <c r="H128" s="34" t="s">
        <v>16197</v>
      </c>
      <c r="I128" s="35">
        <v>1</v>
      </c>
      <c r="J128" s="34" t="s">
        <v>16867</v>
      </c>
      <c r="K128" s="35"/>
      <c r="L128" s="34" t="s">
        <v>16098</v>
      </c>
      <c r="M128" s="35" t="s">
        <v>9</v>
      </c>
      <c r="N128" s="34" t="s">
        <v>3699</v>
      </c>
      <c r="O128" s="35" t="s">
        <v>164</v>
      </c>
      <c r="P128" s="35" t="s">
        <v>2709</v>
      </c>
    </row>
    <row r="129" spans="1:16" ht="13.2" customHeight="1" x14ac:dyDescent="0.25">
      <c r="A129" s="35">
        <v>127</v>
      </c>
      <c r="B129" s="34" t="s">
        <v>16868</v>
      </c>
      <c r="C129" s="35"/>
      <c r="D129" s="34" t="s">
        <v>16551</v>
      </c>
      <c r="E129" s="34" t="s">
        <v>16197</v>
      </c>
      <c r="F129" s="34" t="s">
        <v>16198</v>
      </c>
      <c r="G129" s="34" t="s">
        <v>9825</v>
      </c>
      <c r="H129" s="34" t="s">
        <v>16629</v>
      </c>
      <c r="I129" s="35">
        <v>1</v>
      </c>
      <c r="J129" s="34" t="s">
        <v>16849</v>
      </c>
      <c r="K129" s="35"/>
      <c r="L129" s="34" t="s">
        <v>16189</v>
      </c>
      <c r="M129" s="35" t="s">
        <v>9</v>
      </c>
      <c r="N129" s="34" t="s">
        <v>3699</v>
      </c>
      <c r="O129" s="35" t="s">
        <v>164</v>
      </c>
      <c r="P129" s="35" t="s">
        <v>2709</v>
      </c>
    </row>
    <row r="130" spans="1:16" ht="13.2" customHeight="1" x14ac:dyDescent="0.25">
      <c r="A130" s="35">
        <v>128</v>
      </c>
      <c r="B130" s="34" t="s">
        <v>16869</v>
      </c>
      <c r="C130" s="35"/>
      <c r="D130" s="34" t="s">
        <v>9825</v>
      </c>
      <c r="E130" s="34" t="s">
        <v>16629</v>
      </c>
      <c r="F130" s="34" t="s">
        <v>16630</v>
      </c>
      <c r="G130" s="34" t="s">
        <v>16653</v>
      </c>
      <c r="H130" s="34" t="s">
        <v>16657</v>
      </c>
      <c r="I130" s="35">
        <v>1</v>
      </c>
      <c r="J130" s="34" t="s">
        <v>16870</v>
      </c>
      <c r="K130" s="35"/>
      <c r="L130" s="34" t="s">
        <v>16189</v>
      </c>
      <c r="M130" s="35" t="s">
        <v>9</v>
      </c>
      <c r="N130" s="34" t="s">
        <v>16871</v>
      </c>
      <c r="O130" s="35" t="s">
        <v>164</v>
      </c>
      <c r="P130" s="35" t="s">
        <v>2709</v>
      </c>
    </row>
    <row r="131" spans="1:16" ht="13.2" customHeight="1" x14ac:dyDescent="0.25">
      <c r="A131" s="35">
        <v>129</v>
      </c>
      <c r="B131" s="34" t="s">
        <v>16872</v>
      </c>
      <c r="C131" s="35"/>
      <c r="D131" s="34" t="s">
        <v>16653</v>
      </c>
      <c r="E131" s="34" t="s">
        <v>16657</v>
      </c>
      <c r="F131" s="34" t="s">
        <v>16641</v>
      </c>
      <c r="G131" s="34" t="s">
        <v>16642</v>
      </c>
      <c r="H131" s="34" t="s">
        <v>16550</v>
      </c>
      <c r="I131" s="35">
        <v>1</v>
      </c>
      <c r="J131" s="34" t="s">
        <v>16853</v>
      </c>
      <c r="K131" s="35"/>
      <c r="L131" s="34" t="s">
        <v>16098</v>
      </c>
      <c r="M131" s="35" t="s">
        <v>9</v>
      </c>
      <c r="N131" s="34" t="s">
        <v>3699</v>
      </c>
      <c r="O131" s="35" t="s">
        <v>164</v>
      </c>
      <c r="P131" s="35" t="s">
        <v>2709</v>
      </c>
    </row>
    <row r="132" spans="1:16" ht="13.2" customHeight="1" x14ac:dyDescent="0.25">
      <c r="A132" s="35">
        <v>130</v>
      </c>
      <c r="B132" s="34" t="s">
        <v>16873</v>
      </c>
      <c r="C132" s="35"/>
      <c r="D132" s="34" t="s">
        <v>16874</v>
      </c>
      <c r="E132" s="34" t="s">
        <v>16875</v>
      </c>
      <c r="F132" s="34" t="s">
        <v>16876</v>
      </c>
      <c r="G132" s="34" t="s">
        <v>16877</v>
      </c>
      <c r="H132" s="34" t="s">
        <v>16878</v>
      </c>
      <c r="I132" s="35">
        <v>1</v>
      </c>
      <c r="J132" s="34" t="s">
        <v>16879</v>
      </c>
      <c r="K132" s="35"/>
      <c r="L132" s="34" t="s">
        <v>16098</v>
      </c>
      <c r="M132" s="35" t="s">
        <v>9</v>
      </c>
      <c r="N132" s="34" t="s">
        <v>2548</v>
      </c>
      <c r="O132" s="35" t="s">
        <v>816</v>
      </c>
      <c r="P132" s="35" t="s">
        <v>2710</v>
      </c>
    </row>
    <row r="133" spans="1:16" ht="13.2" customHeight="1" x14ac:dyDescent="0.25">
      <c r="A133" s="35">
        <v>131</v>
      </c>
      <c r="B133" s="34" t="s">
        <v>16880</v>
      </c>
      <c r="C133" s="35"/>
      <c r="D133" s="34" t="s">
        <v>16881</v>
      </c>
      <c r="E133" s="34" t="s">
        <v>14071</v>
      </c>
      <c r="F133" s="34" t="s">
        <v>15741</v>
      </c>
      <c r="G133" s="34" t="s">
        <v>16882</v>
      </c>
      <c r="H133" s="34" t="s">
        <v>16883</v>
      </c>
      <c r="I133" s="35">
        <v>1</v>
      </c>
      <c r="J133" s="34" t="s">
        <v>16884</v>
      </c>
      <c r="K133" s="35"/>
      <c r="L133" s="34" t="s">
        <v>16189</v>
      </c>
      <c r="M133" s="35" t="s">
        <v>9</v>
      </c>
      <c r="N133" s="34" t="s">
        <v>2540</v>
      </c>
      <c r="O133" s="35" t="s">
        <v>816</v>
      </c>
      <c r="P133" s="35" t="s">
        <v>2710</v>
      </c>
    </row>
    <row r="134" spans="1:16" ht="13.2" customHeight="1" x14ac:dyDescent="0.25">
      <c r="A134" s="35">
        <v>132</v>
      </c>
      <c r="B134" s="34" t="s">
        <v>16885</v>
      </c>
      <c r="C134" s="35"/>
      <c r="D134" s="34" t="s">
        <v>16629</v>
      </c>
      <c r="E134" s="34" t="s">
        <v>16630</v>
      </c>
      <c r="F134" s="34" t="s">
        <v>16653</v>
      </c>
      <c r="G134" s="34" t="s">
        <v>16657</v>
      </c>
      <c r="H134" s="34" t="s">
        <v>16641</v>
      </c>
      <c r="I134" s="35">
        <v>1</v>
      </c>
      <c r="J134" s="34" t="s">
        <v>16768</v>
      </c>
      <c r="K134" s="35"/>
      <c r="L134" s="34" t="s">
        <v>16098</v>
      </c>
      <c r="M134" s="35" t="s">
        <v>9</v>
      </c>
      <c r="N134" s="34" t="s">
        <v>2537</v>
      </c>
      <c r="O134" s="35" t="s">
        <v>816</v>
      </c>
      <c r="P134" s="35" t="s">
        <v>2710</v>
      </c>
    </row>
    <row r="135" spans="1:16" ht="13.2" customHeight="1" x14ac:dyDescent="0.25">
      <c r="A135" s="35">
        <v>133</v>
      </c>
      <c r="B135" s="34" t="s">
        <v>16886</v>
      </c>
      <c r="C135" s="35"/>
      <c r="D135" s="34" t="s">
        <v>16657</v>
      </c>
      <c r="E135" s="34" t="s">
        <v>16641</v>
      </c>
      <c r="F135" s="34" t="s">
        <v>16642</v>
      </c>
      <c r="G135" s="34" t="s">
        <v>16550</v>
      </c>
      <c r="H135" s="34" t="s">
        <v>16551</v>
      </c>
      <c r="I135" s="35">
        <v>1</v>
      </c>
      <c r="J135" s="34" t="s">
        <v>16770</v>
      </c>
      <c r="K135" s="35"/>
      <c r="L135" s="34" t="s">
        <v>16098</v>
      </c>
      <c r="M135" s="35" t="s">
        <v>9</v>
      </c>
      <c r="N135" s="34" t="s">
        <v>3733</v>
      </c>
      <c r="O135" s="35" t="s">
        <v>816</v>
      </c>
      <c r="P135" s="35" t="s">
        <v>2710</v>
      </c>
    </row>
    <row r="136" spans="1:16" ht="13.2" customHeight="1" x14ac:dyDescent="0.25">
      <c r="A136" s="35">
        <v>134</v>
      </c>
      <c r="B136" s="34" t="s">
        <v>16887</v>
      </c>
      <c r="C136" s="35"/>
      <c r="D136" s="34" t="s">
        <v>16550</v>
      </c>
      <c r="E136" s="34" t="s">
        <v>16551</v>
      </c>
      <c r="F136" s="34" t="s">
        <v>16197</v>
      </c>
      <c r="G136" s="34" t="s">
        <v>16198</v>
      </c>
      <c r="H136" s="34" t="s">
        <v>9825</v>
      </c>
      <c r="I136" s="35">
        <v>1</v>
      </c>
      <c r="J136" s="34" t="s">
        <v>16861</v>
      </c>
      <c r="K136" s="35"/>
      <c r="L136" s="34" t="s">
        <v>16098</v>
      </c>
      <c r="M136" s="35" t="s">
        <v>9</v>
      </c>
      <c r="N136" s="34" t="s">
        <v>2575</v>
      </c>
      <c r="O136" s="35" t="s">
        <v>816</v>
      </c>
      <c r="P136" s="35" t="s">
        <v>2710</v>
      </c>
    </row>
    <row r="137" spans="1:16" ht="13.2" customHeight="1" x14ac:dyDescent="0.25">
      <c r="A137" s="35">
        <v>135</v>
      </c>
      <c r="B137" s="34" t="s">
        <v>16888</v>
      </c>
      <c r="C137" s="35"/>
      <c r="D137" s="34" t="s">
        <v>4394</v>
      </c>
      <c r="E137" s="34" t="s">
        <v>4395</v>
      </c>
      <c r="F137" s="34" t="s">
        <v>4396</v>
      </c>
      <c r="G137" s="34" t="s">
        <v>4397</v>
      </c>
      <c r="H137" s="34" t="s">
        <v>4398</v>
      </c>
      <c r="I137" s="35">
        <v>1</v>
      </c>
      <c r="J137" s="34" t="s">
        <v>16889</v>
      </c>
      <c r="K137" s="35"/>
      <c r="L137" s="34" t="s">
        <v>16098</v>
      </c>
      <c r="M137" s="35" t="s">
        <v>9</v>
      </c>
      <c r="N137" s="34" t="s">
        <v>3754</v>
      </c>
      <c r="O137" s="35" t="s">
        <v>816</v>
      </c>
      <c r="P137" s="35" t="s">
        <v>2710</v>
      </c>
    </row>
    <row r="138" spans="1:16" ht="13.2" customHeight="1" x14ac:dyDescent="0.25">
      <c r="A138" s="35">
        <v>136</v>
      </c>
      <c r="B138" s="34" t="s">
        <v>16890</v>
      </c>
      <c r="C138" s="35"/>
      <c r="D138" s="34" t="s">
        <v>16630</v>
      </c>
      <c r="E138" s="34" t="s">
        <v>16653</v>
      </c>
      <c r="F138" s="34" t="s">
        <v>16657</v>
      </c>
      <c r="G138" s="34" t="s">
        <v>16641</v>
      </c>
      <c r="H138" s="34" t="s">
        <v>16642</v>
      </c>
      <c r="I138" s="35">
        <v>1</v>
      </c>
      <c r="J138" s="34" t="s">
        <v>16891</v>
      </c>
      <c r="K138" s="35"/>
      <c r="L138" s="34" t="s">
        <v>16098</v>
      </c>
      <c r="M138" s="35" t="s">
        <v>9</v>
      </c>
      <c r="N138" s="34" t="s">
        <v>2537</v>
      </c>
      <c r="O138" s="35" t="s">
        <v>816</v>
      </c>
      <c r="P138" s="35" t="s">
        <v>2710</v>
      </c>
    </row>
    <row r="139" spans="1:16" ht="13.2" customHeight="1" x14ac:dyDescent="0.25">
      <c r="A139" s="35">
        <v>137</v>
      </c>
      <c r="B139" s="34" t="s">
        <v>16892</v>
      </c>
      <c r="C139" s="35"/>
      <c r="D139" s="34" t="s">
        <v>16641</v>
      </c>
      <c r="E139" s="34" t="s">
        <v>16642</v>
      </c>
      <c r="F139" s="34" t="s">
        <v>16550</v>
      </c>
      <c r="G139" s="34" t="s">
        <v>16551</v>
      </c>
      <c r="H139" s="34" t="s">
        <v>16197</v>
      </c>
      <c r="I139" s="35">
        <v>1</v>
      </c>
      <c r="J139" s="34" t="s">
        <v>16893</v>
      </c>
      <c r="K139" s="35"/>
      <c r="L139" s="34" t="s">
        <v>16098</v>
      </c>
      <c r="M139" s="35" t="s">
        <v>9</v>
      </c>
      <c r="N139" s="34" t="s">
        <v>7496</v>
      </c>
      <c r="O139" s="35" t="s">
        <v>816</v>
      </c>
      <c r="P139" s="35" t="s">
        <v>2710</v>
      </c>
    </row>
    <row r="140" spans="1:16" ht="13.2" customHeight="1" x14ac:dyDescent="0.25">
      <c r="A140" s="35">
        <v>138</v>
      </c>
      <c r="B140" s="34" t="s">
        <v>16894</v>
      </c>
      <c r="C140" s="35"/>
      <c r="D140" s="34" t="s">
        <v>16551</v>
      </c>
      <c r="E140" s="34" t="s">
        <v>16197</v>
      </c>
      <c r="F140" s="34" t="s">
        <v>16198</v>
      </c>
      <c r="G140" s="34" t="s">
        <v>9825</v>
      </c>
      <c r="H140" s="34" t="s">
        <v>16629</v>
      </c>
      <c r="I140" s="35">
        <v>1</v>
      </c>
      <c r="J140" s="34" t="s">
        <v>16895</v>
      </c>
      <c r="K140" s="35"/>
      <c r="L140" s="34" t="s">
        <v>16098</v>
      </c>
      <c r="M140" s="35" t="s">
        <v>9</v>
      </c>
      <c r="N140" s="34" t="s">
        <v>16896</v>
      </c>
      <c r="O140" s="35" t="s">
        <v>816</v>
      </c>
      <c r="P140" s="35" t="s">
        <v>2710</v>
      </c>
    </row>
    <row r="141" spans="1:16" ht="13.2" customHeight="1" x14ac:dyDescent="0.25">
      <c r="A141" s="35">
        <v>139</v>
      </c>
      <c r="B141" s="34" t="s">
        <v>16897</v>
      </c>
      <c r="C141" s="35"/>
      <c r="D141" s="34" t="s">
        <v>16898</v>
      </c>
      <c r="E141" s="34" t="s">
        <v>16899</v>
      </c>
      <c r="F141" s="34" t="s">
        <v>16900</v>
      </c>
      <c r="G141" s="34" t="s">
        <v>16901</v>
      </c>
      <c r="H141" s="34" t="s">
        <v>16902</v>
      </c>
      <c r="I141" s="35">
        <v>1</v>
      </c>
      <c r="J141" s="34" t="s">
        <v>16903</v>
      </c>
      <c r="K141" s="35"/>
      <c r="L141" s="34" t="s">
        <v>16098</v>
      </c>
      <c r="M141" s="35" t="s">
        <v>9</v>
      </c>
      <c r="N141" s="34" t="s">
        <v>5030</v>
      </c>
      <c r="O141" s="35" t="s">
        <v>816</v>
      </c>
      <c r="P141" s="35" t="s">
        <v>2710</v>
      </c>
    </row>
    <row r="142" spans="1:16" ht="13.2" customHeight="1" x14ac:dyDescent="0.25">
      <c r="A142" s="35">
        <v>140</v>
      </c>
      <c r="B142" s="34" t="s">
        <v>16904</v>
      </c>
      <c r="C142" s="35"/>
      <c r="D142" s="34" t="s">
        <v>16653</v>
      </c>
      <c r="E142" s="34" t="s">
        <v>16657</v>
      </c>
      <c r="F142" s="34" t="s">
        <v>16641</v>
      </c>
      <c r="G142" s="34" t="s">
        <v>16642</v>
      </c>
      <c r="H142" s="34" t="s">
        <v>16550</v>
      </c>
      <c r="I142" s="35">
        <v>3</v>
      </c>
      <c r="J142" s="34" t="s">
        <v>16905</v>
      </c>
      <c r="K142" s="35"/>
      <c r="L142" s="34" t="s">
        <v>16209</v>
      </c>
      <c r="M142" s="35" t="s">
        <v>9</v>
      </c>
      <c r="N142" s="34" t="s">
        <v>3856</v>
      </c>
      <c r="O142" s="35" t="s">
        <v>816</v>
      </c>
      <c r="P142" s="35" t="s">
        <v>2710</v>
      </c>
    </row>
    <row r="143" spans="1:16" ht="13.2" customHeight="1" x14ac:dyDescent="0.25">
      <c r="A143" s="35">
        <v>141</v>
      </c>
      <c r="B143" s="34" t="s">
        <v>16906</v>
      </c>
      <c r="C143" s="35"/>
      <c r="D143" s="34" t="s">
        <v>15084</v>
      </c>
      <c r="E143" s="34" t="s">
        <v>16142</v>
      </c>
      <c r="F143" s="34" t="s">
        <v>12303</v>
      </c>
      <c r="G143" s="34" t="s">
        <v>16907</v>
      </c>
      <c r="H143" s="34" t="s">
        <v>15085</v>
      </c>
      <c r="I143" s="35">
        <v>1</v>
      </c>
      <c r="J143" s="34" t="s">
        <v>16908</v>
      </c>
      <c r="K143" s="35"/>
      <c r="L143" s="34" t="s">
        <v>16098</v>
      </c>
      <c r="M143" s="35" t="s">
        <v>9</v>
      </c>
      <c r="N143" s="34" t="s">
        <v>5060</v>
      </c>
      <c r="O143" s="35" t="s">
        <v>816</v>
      </c>
      <c r="P143" s="35" t="s">
        <v>2710</v>
      </c>
    </row>
    <row r="144" spans="1:16" ht="13.2" customHeight="1" x14ac:dyDescent="0.25">
      <c r="A144" s="35">
        <v>142</v>
      </c>
      <c r="B144" s="34" t="s">
        <v>16909</v>
      </c>
      <c r="C144" s="35"/>
      <c r="D144" s="34" t="s">
        <v>16910</v>
      </c>
      <c r="E144" s="34" t="s">
        <v>16911</v>
      </c>
      <c r="F144" s="34" t="s">
        <v>16912</v>
      </c>
      <c r="G144" s="34" t="s">
        <v>16913</v>
      </c>
      <c r="H144" s="34" t="s">
        <v>16914</v>
      </c>
      <c r="I144" s="35">
        <v>1</v>
      </c>
      <c r="J144" s="34" t="s">
        <v>16915</v>
      </c>
      <c r="K144" s="35"/>
      <c r="L144" s="34" t="s">
        <v>16098</v>
      </c>
      <c r="M144" s="35" t="s">
        <v>9</v>
      </c>
      <c r="N144" s="34" t="s">
        <v>7496</v>
      </c>
      <c r="O144" s="35" t="s">
        <v>816</v>
      </c>
      <c r="P144" s="35" t="s">
        <v>2710</v>
      </c>
    </row>
    <row r="145" spans="1:16" ht="13.2" customHeight="1" x14ac:dyDescent="0.25">
      <c r="A145" s="35">
        <v>143</v>
      </c>
      <c r="B145" s="34" t="s">
        <v>16916</v>
      </c>
      <c r="C145" s="35"/>
      <c r="D145" s="34" t="s">
        <v>16917</v>
      </c>
      <c r="E145" s="34" t="s">
        <v>16882</v>
      </c>
      <c r="F145" s="34" t="s">
        <v>16918</v>
      </c>
      <c r="G145" s="34" t="s">
        <v>2208</v>
      </c>
      <c r="H145" s="34" t="s">
        <v>14896</v>
      </c>
      <c r="I145" s="35">
        <v>1</v>
      </c>
      <c r="J145" s="34" t="s">
        <v>16919</v>
      </c>
      <c r="K145" s="35"/>
      <c r="L145" s="34" t="s">
        <v>16098</v>
      </c>
      <c r="M145" s="35" t="s">
        <v>9</v>
      </c>
      <c r="N145" s="34" t="s">
        <v>5202</v>
      </c>
      <c r="O145" s="35" t="s">
        <v>816</v>
      </c>
      <c r="P145" s="35" t="s">
        <v>2710</v>
      </c>
    </row>
    <row r="146" spans="1:16" ht="13.2" customHeight="1" x14ac:dyDescent="0.25">
      <c r="A146" s="35">
        <v>144</v>
      </c>
      <c r="B146" s="34" t="s">
        <v>16920</v>
      </c>
      <c r="C146" s="35"/>
      <c r="D146" s="34" t="s">
        <v>16921</v>
      </c>
      <c r="E146" s="34" t="s">
        <v>16215</v>
      </c>
      <c r="F146" s="34" t="s">
        <v>16922</v>
      </c>
      <c r="G146" s="34" t="s">
        <v>15696</v>
      </c>
      <c r="H146" s="34" t="s">
        <v>16923</v>
      </c>
      <c r="I146" s="35">
        <v>1</v>
      </c>
      <c r="J146" s="34" t="s">
        <v>16924</v>
      </c>
      <c r="K146" s="35"/>
      <c r="L146" s="34" t="s">
        <v>16189</v>
      </c>
      <c r="M146" s="35" t="s">
        <v>9</v>
      </c>
      <c r="N146" s="34" t="s">
        <v>1646</v>
      </c>
      <c r="O146" s="35" t="s">
        <v>816</v>
      </c>
      <c r="P146" s="35" t="s">
        <v>2710</v>
      </c>
    </row>
    <row r="147" spans="1:16" ht="13.2" customHeight="1" x14ac:dyDescent="0.25">
      <c r="A147" s="35">
        <v>145</v>
      </c>
      <c r="B147" s="34" t="s">
        <v>16925</v>
      </c>
      <c r="C147" s="35"/>
      <c r="D147" s="34" t="s">
        <v>16550</v>
      </c>
      <c r="E147" s="34" t="s">
        <v>16551</v>
      </c>
      <c r="F147" s="34" t="s">
        <v>16197</v>
      </c>
      <c r="G147" s="34" t="s">
        <v>16198</v>
      </c>
      <c r="H147" s="34" t="s">
        <v>9825</v>
      </c>
      <c r="I147" s="35">
        <v>1</v>
      </c>
      <c r="J147" s="34" t="s">
        <v>16861</v>
      </c>
      <c r="K147" s="35"/>
      <c r="L147" s="34" t="s">
        <v>16098</v>
      </c>
      <c r="M147" s="35" t="s">
        <v>9</v>
      </c>
      <c r="N147" s="34" t="s">
        <v>1669</v>
      </c>
      <c r="O147" s="35" t="s">
        <v>816</v>
      </c>
      <c r="P147" s="35" t="s">
        <v>2711</v>
      </c>
    </row>
    <row r="148" spans="1:16" ht="13.2" customHeight="1" x14ac:dyDescent="0.25">
      <c r="A148" s="35">
        <v>146</v>
      </c>
      <c r="B148" s="34" t="s">
        <v>16404</v>
      </c>
      <c r="C148" s="35"/>
      <c r="D148" s="34" t="s">
        <v>16198</v>
      </c>
      <c r="E148" s="34" t="s">
        <v>9825</v>
      </c>
      <c r="F148" s="34" t="s">
        <v>16629</v>
      </c>
      <c r="G148" s="34" t="s">
        <v>16630</v>
      </c>
      <c r="H148" s="34" t="s">
        <v>16653</v>
      </c>
      <c r="I148" s="35">
        <v>1</v>
      </c>
      <c r="J148" s="34" t="s">
        <v>16926</v>
      </c>
      <c r="K148" s="35"/>
      <c r="L148" s="34" t="s">
        <v>16189</v>
      </c>
      <c r="M148" s="35" t="s">
        <v>9</v>
      </c>
      <c r="N148" s="34" t="s">
        <v>3936</v>
      </c>
      <c r="O148" s="35" t="s">
        <v>816</v>
      </c>
      <c r="P148" s="35" t="s">
        <v>2711</v>
      </c>
    </row>
    <row r="149" spans="1:16" ht="13.2" customHeight="1" x14ac:dyDescent="0.25">
      <c r="A149" s="35">
        <v>147</v>
      </c>
      <c r="B149" s="34" t="s">
        <v>16405</v>
      </c>
      <c r="C149" s="35"/>
      <c r="D149" s="34" t="s">
        <v>16630</v>
      </c>
      <c r="E149" s="34" t="s">
        <v>16653</v>
      </c>
      <c r="F149" s="34" t="s">
        <v>16657</v>
      </c>
      <c r="G149" s="34" t="s">
        <v>16641</v>
      </c>
      <c r="H149" s="34" t="s">
        <v>16642</v>
      </c>
      <c r="I149" s="35">
        <v>1</v>
      </c>
      <c r="J149" s="34" t="s">
        <v>16927</v>
      </c>
      <c r="K149" s="35"/>
      <c r="L149" s="34" t="s">
        <v>16189</v>
      </c>
      <c r="M149" s="35" t="s">
        <v>9</v>
      </c>
      <c r="N149" s="34" t="s">
        <v>3900</v>
      </c>
      <c r="O149" s="35" t="s">
        <v>816</v>
      </c>
      <c r="P149" s="35" t="s">
        <v>2711</v>
      </c>
    </row>
    <row r="150" spans="1:16" ht="13.2" customHeight="1" x14ac:dyDescent="0.25">
      <c r="A150" s="35">
        <v>148</v>
      </c>
      <c r="B150" s="34" t="s">
        <v>16928</v>
      </c>
      <c r="C150" s="35"/>
      <c r="D150" s="34" t="s">
        <v>16641</v>
      </c>
      <c r="E150" s="34" t="s">
        <v>16642</v>
      </c>
      <c r="F150" s="34" t="s">
        <v>16550</v>
      </c>
      <c r="G150" s="34" t="s">
        <v>16551</v>
      </c>
      <c r="H150" s="34" t="s">
        <v>16197</v>
      </c>
      <c r="I150" s="35">
        <v>1</v>
      </c>
      <c r="J150" s="34" t="s">
        <v>16929</v>
      </c>
      <c r="K150" s="35"/>
      <c r="L150" s="34" t="s">
        <v>16189</v>
      </c>
      <c r="M150" s="35" t="s">
        <v>9</v>
      </c>
      <c r="N150" s="34" t="s">
        <v>2655</v>
      </c>
      <c r="O150" s="35" t="s">
        <v>816</v>
      </c>
      <c r="P150" s="35" t="s">
        <v>2711</v>
      </c>
    </row>
    <row r="151" spans="1:16" ht="13.2" customHeight="1" x14ac:dyDescent="0.25">
      <c r="A151" s="35">
        <v>149</v>
      </c>
      <c r="B151" s="34" t="s">
        <v>16930</v>
      </c>
      <c r="C151" s="35"/>
      <c r="D151" s="34" t="s">
        <v>16551</v>
      </c>
      <c r="E151" s="34" t="s">
        <v>16197</v>
      </c>
      <c r="F151" s="34" t="s">
        <v>16198</v>
      </c>
      <c r="G151" s="34" t="s">
        <v>9825</v>
      </c>
      <c r="H151" s="34" t="s">
        <v>16629</v>
      </c>
      <c r="I151" s="35">
        <v>1</v>
      </c>
      <c r="J151" s="34" t="s">
        <v>16849</v>
      </c>
      <c r="K151" s="35"/>
      <c r="L151" s="34" t="s">
        <v>16098</v>
      </c>
      <c r="M151" s="35" t="s">
        <v>9</v>
      </c>
      <c r="N151" s="34" t="s">
        <v>3887</v>
      </c>
      <c r="O151" s="35" t="s">
        <v>816</v>
      </c>
      <c r="P151" s="35" t="s">
        <v>2711</v>
      </c>
    </row>
    <row r="152" spans="1:16" ht="13.2" customHeight="1" x14ac:dyDescent="0.25">
      <c r="A152" s="35">
        <v>150</v>
      </c>
      <c r="B152" s="34" t="s">
        <v>16931</v>
      </c>
      <c r="C152" s="35"/>
      <c r="D152" s="34" t="s">
        <v>9825</v>
      </c>
      <c r="E152" s="34" t="s">
        <v>16629</v>
      </c>
      <c r="F152" s="34" t="s">
        <v>16630</v>
      </c>
      <c r="G152" s="34" t="s">
        <v>16653</v>
      </c>
      <c r="H152" s="34" t="s">
        <v>16657</v>
      </c>
      <c r="I152" s="35">
        <v>4</v>
      </c>
      <c r="J152" s="34" t="s">
        <v>16932</v>
      </c>
      <c r="K152" s="35"/>
      <c r="L152" s="34" t="s">
        <v>16098</v>
      </c>
      <c r="M152" s="35" t="s">
        <v>9</v>
      </c>
      <c r="N152" s="34" t="s">
        <v>1669</v>
      </c>
      <c r="O152" s="35" t="s">
        <v>816</v>
      </c>
      <c r="P152" s="35" t="s">
        <v>2711</v>
      </c>
    </row>
    <row r="153" spans="1:16" ht="13.2" customHeight="1" x14ac:dyDescent="0.25">
      <c r="A153" s="35">
        <v>151</v>
      </c>
      <c r="B153" s="34" t="s">
        <v>16933</v>
      </c>
      <c r="C153" s="35"/>
      <c r="D153" s="34" t="s">
        <v>16642</v>
      </c>
      <c r="E153" s="34" t="s">
        <v>16550</v>
      </c>
      <c r="F153" s="34" t="s">
        <v>16551</v>
      </c>
      <c r="G153" s="34" t="s">
        <v>16197</v>
      </c>
      <c r="H153" s="34" t="s">
        <v>16198</v>
      </c>
      <c r="I153" s="35">
        <v>1</v>
      </c>
      <c r="J153" s="34" t="s">
        <v>16811</v>
      </c>
      <c r="K153" s="35"/>
      <c r="L153" s="34" t="s">
        <v>16098</v>
      </c>
      <c r="M153" s="35" t="s">
        <v>9</v>
      </c>
      <c r="N153" s="34" t="s">
        <v>2655</v>
      </c>
      <c r="O153" s="35" t="s">
        <v>816</v>
      </c>
      <c r="P153" s="35" t="s">
        <v>2711</v>
      </c>
    </row>
    <row r="154" spans="1:16" ht="13.2" customHeight="1" x14ac:dyDescent="0.25">
      <c r="A154" s="35">
        <v>152</v>
      </c>
      <c r="B154" s="34" t="s">
        <v>16934</v>
      </c>
      <c r="C154" s="35"/>
      <c r="D154" s="34" t="s">
        <v>16197</v>
      </c>
      <c r="E154" s="34" t="s">
        <v>16198</v>
      </c>
      <c r="F154" s="34" t="s">
        <v>9825</v>
      </c>
      <c r="G154" s="34" t="s">
        <v>16629</v>
      </c>
      <c r="H154" s="34" t="s">
        <v>16630</v>
      </c>
      <c r="I154" s="35">
        <v>4</v>
      </c>
      <c r="J154" s="34" t="s">
        <v>16935</v>
      </c>
      <c r="K154" s="35"/>
      <c r="L154" s="34" t="s">
        <v>16098</v>
      </c>
      <c r="M154" s="35" t="s">
        <v>9</v>
      </c>
      <c r="N154" s="34" t="s">
        <v>2655</v>
      </c>
      <c r="O154" s="35" t="s">
        <v>816</v>
      </c>
      <c r="P154" s="35" t="s">
        <v>2711</v>
      </c>
    </row>
    <row r="155" spans="1:16" ht="13.2" customHeight="1" x14ac:dyDescent="0.25">
      <c r="A155" s="35">
        <v>153</v>
      </c>
      <c r="B155" s="34" t="s">
        <v>16936</v>
      </c>
      <c r="C155" s="35"/>
      <c r="D155" s="34" t="s">
        <v>16629</v>
      </c>
      <c r="E155" s="34" t="s">
        <v>16630</v>
      </c>
      <c r="F155" s="34" t="s">
        <v>16653</v>
      </c>
      <c r="G155" s="34" t="s">
        <v>16657</v>
      </c>
      <c r="H155" s="34" t="s">
        <v>16641</v>
      </c>
      <c r="I155" s="35">
        <v>1</v>
      </c>
      <c r="J155" s="34" t="s">
        <v>16937</v>
      </c>
      <c r="K155" s="35"/>
      <c r="L155" s="34" t="s">
        <v>16098</v>
      </c>
      <c r="M155" s="35" t="s">
        <v>9</v>
      </c>
      <c r="N155" s="34" t="s">
        <v>4033</v>
      </c>
      <c r="O155" s="35" t="s">
        <v>816</v>
      </c>
      <c r="P155" s="35" t="s">
        <v>2711</v>
      </c>
    </row>
    <row r="156" spans="1:16" ht="13.2" customHeight="1" x14ac:dyDescent="0.25">
      <c r="A156" s="35">
        <v>154</v>
      </c>
      <c r="B156" s="34" t="s">
        <v>16938</v>
      </c>
      <c r="C156" s="35"/>
      <c r="D156" s="34" t="s">
        <v>16657</v>
      </c>
      <c r="E156" s="34" t="s">
        <v>16641</v>
      </c>
      <c r="F156" s="34" t="s">
        <v>16642</v>
      </c>
      <c r="G156" s="34" t="s">
        <v>16550</v>
      </c>
      <c r="H156" s="34" t="s">
        <v>16551</v>
      </c>
      <c r="I156" s="35">
        <v>1</v>
      </c>
      <c r="J156" s="34" t="s">
        <v>16770</v>
      </c>
      <c r="K156" s="35"/>
      <c r="L156" s="34" t="s">
        <v>16098</v>
      </c>
      <c r="M156" s="35" t="s">
        <v>9</v>
      </c>
      <c r="N156" s="34" t="s">
        <v>3936</v>
      </c>
      <c r="O156" s="35" t="s">
        <v>816</v>
      </c>
      <c r="P156" s="35" t="s">
        <v>2711</v>
      </c>
    </row>
    <row r="157" spans="1:16" ht="13.2" customHeight="1" x14ac:dyDescent="0.25">
      <c r="A157" s="35">
        <v>155</v>
      </c>
      <c r="B157" s="34" t="s">
        <v>16939</v>
      </c>
      <c r="C157" s="35"/>
      <c r="D157" s="34" t="s">
        <v>16550</v>
      </c>
      <c r="E157" s="34" t="s">
        <v>16551</v>
      </c>
      <c r="F157" s="34" t="s">
        <v>16197</v>
      </c>
      <c r="G157" s="34" t="s">
        <v>16198</v>
      </c>
      <c r="H157" s="34" t="s">
        <v>9825</v>
      </c>
      <c r="I157" s="35">
        <v>1</v>
      </c>
      <c r="J157" s="34" t="s">
        <v>16861</v>
      </c>
      <c r="K157" s="35"/>
      <c r="L157" s="34" t="s">
        <v>16098</v>
      </c>
      <c r="M157" s="35" t="s">
        <v>9</v>
      </c>
      <c r="N157" s="34" t="s">
        <v>3900</v>
      </c>
      <c r="O157" s="35" t="s">
        <v>816</v>
      </c>
      <c r="P157" s="35" t="s">
        <v>2711</v>
      </c>
    </row>
    <row r="158" spans="1:16" ht="13.2" customHeight="1" x14ac:dyDescent="0.25">
      <c r="A158" s="35">
        <v>156</v>
      </c>
      <c r="B158" s="34" t="s">
        <v>16940</v>
      </c>
      <c r="C158" s="35"/>
      <c r="D158" s="34" t="s">
        <v>16198</v>
      </c>
      <c r="E158" s="34" t="s">
        <v>9825</v>
      </c>
      <c r="F158" s="34" t="s">
        <v>16629</v>
      </c>
      <c r="G158" s="34" t="s">
        <v>16630</v>
      </c>
      <c r="H158" s="34" t="s">
        <v>16653</v>
      </c>
      <c r="I158" s="35">
        <v>1</v>
      </c>
      <c r="J158" s="34" t="s">
        <v>16862</v>
      </c>
      <c r="K158" s="35"/>
      <c r="L158" s="34" t="s">
        <v>16098</v>
      </c>
      <c r="M158" s="35" t="s">
        <v>9</v>
      </c>
      <c r="N158" s="34" t="s">
        <v>3887</v>
      </c>
      <c r="O158" s="35" t="s">
        <v>816</v>
      </c>
      <c r="P158" s="35" t="s">
        <v>2711</v>
      </c>
    </row>
    <row r="159" spans="1:16" ht="13.2" customHeight="1" x14ac:dyDescent="0.25">
      <c r="A159" s="35">
        <v>157</v>
      </c>
      <c r="B159" s="34" t="s">
        <v>16941</v>
      </c>
      <c r="C159" s="35"/>
      <c r="D159" s="34" t="s">
        <v>16630</v>
      </c>
      <c r="E159" s="34" t="s">
        <v>16653</v>
      </c>
      <c r="F159" s="34" t="s">
        <v>16657</v>
      </c>
      <c r="G159" s="34" t="s">
        <v>16641</v>
      </c>
      <c r="H159" s="34" t="s">
        <v>16642</v>
      </c>
      <c r="I159" s="35">
        <v>1</v>
      </c>
      <c r="J159" s="34" t="s">
        <v>16942</v>
      </c>
      <c r="K159" s="35"/>
      <c r="L159" s="34" t="s">
        <v>16098</v>
      </c>
      <c r="M159" s="35" t="s">
        <v>9</v>
      </c>
      <c r="N159" s="34" t="s">
        <v>1669</v>
      </c>
      <c r="O159" s="35" t="s">
        <v>816</v>
      </c>
      <c r="P159" s="35" t="s">
        <v>2711</v>
      </c>
    </row>
    <row r="160" spans="1:16" ht="13.2" customHeight="1" x14ac:dyDescent="0.25">
      <c r="A160" s="35">
        <v>158</v>
      </c>
      <c r="B160" s="34" t="s">
        <v>16943</v>
      </c>
      <c r="C160" s="35"/>
      <c r="D160" s="34" t="s">
        <v>16641</v>
      </c>
      <c r="E160" s="34" t="s">
        <v>16642</v>
      </c>
      <c r="F160" s="34" t="s">
        <v>16550</v>
      </c>
      <c r="G160" s="34" t="s">
        <v>16551</v>
      </c>
      <c r="H160" s="34" t="s">
        <v>16197</v>
      </c>
      <c r="I160" s="35">
        <v>5</v>
      </c>
      <c r="J160" s="34" t="s">
        <v>16944</v>
      </c>
      <c r="K160" s="35"/>
      <c r="L160" s="34" t="s">
        <v>16098</v>
      </c>
      <c r="M160" s="35" t="s">
        <v>9</v>
      </c>
      <c r="N160" s="34" t="s">
        <v>1669</v>
      </c>
      <c r="O160" s="35" t="s">
        <v>816</v>
      </c>
      <c r="P160" s="35" t="s">
        <v>2711</v>
      </c>
    </row>
    <row r="161" spans="1:16" ht="13.2" customHeight="1" x14ac:dyDescent="0.25">
      <c r="A161" s="35">
        <v>159</v>
      </c>
      <c r="B161" s="34" t="s">
        <v>16844</v>
      </c>
      <c r="C161" s="35"/>
      <c r="D161" s="34" t="s">
        <v>16551</v>
      </c>
      <c r="E161" s="34" t="s">
        <v>16197</v>
      </c>
      <c r="F161" s="34" t="s">
        <v>16198</v>
      </c>
      <c r="G161" s="34" t="s">
        <v>9825</v>
      </c>
      <c r="H161" s="34" t="s">
        <v>16629</v>
      </c>
      <c r="I161" s="35">
        <v>1</v>
      </c>
      <c r="J161" s="34" t="s">
        <v>16849</v>
      </c>
      <c r="K161" s="35"/>
      <c r="L161" s="34" t="s">
        <v>16098</v>
      </c>
      <c r="M161" s="35" t="s">
        <v>9</v>
      </c>
      <c r="N161" s="34" t="s">
        <v>10589</v>
      </c>
      <c r="O161" s="35" t="s">
        <v>816</v>
      </c>
      <c r="P161" s="35" t="s">
        <v>2711</v>
      </c>
    </row>
    <row r="162" spans="1:16" ht="13.2" customHeight="1" x14ac:dyDescent="0.25">
      <c r="A162" s="35">
        <v>160</v>
      </c>
      <c r="B162" s="34" t="s">
        <v>16945</v>
      </c>
      <c r="C162" s="35"/>
      <c r="D162" s="34" t="s">
        <v>9825</v>
      </c>
      <c r="E162" s="34" t="s">
        <v>16629</v>
      </c>
      <c r="F162" s="34" t="s">
        <v>16630</v>
      </c>
      <c r="G162" s="34" t="s">
        <v>16653</v>
      </c>
      <c r="H162" s="34" t="s">
        <v>16657</v>
      </c>
      <c r="I162" s="35">
        <v>2</v>
      </c>
      <c r="J162" s="34" t="s">
        <v>16946</v>
      </c>
      <c r="K162" s="35"/>
      <c r="L162" s="34" t="s">
        <v>16098</v>
      </c>
      <c r="M162" s="35" t="s">
        <v>9</v>
      </c>
      <c r="N162" s="34" t="s">
        <v>2655</v>
      </c>
      <c r="O162" s="35" t="s">
        <v>816</v>
      </c>
      <c r="P162" s="35" t="s">
        <v>2711</v>
      </c>
    </row>
    <row r="163" spans="1:16" ht="13.2" customHeight="1" x14ac:dyDescent="0.25">
      <c r="A163" s="35">
        <v>161</v>
      </c>
      <c r="B163" s="34" t="s">
        <v>16947</v>
      </c>
      <c r="C163" s="35"/>
      <c r="D163" s="34" t="s">
        <v>16653</v>
      </c>
      <c r="E163" s="34" t="s">
        <v>16657</v>
      </c>
      <c r="F163" s="34" t="s">
        <v>16641</v>
      </c>
      <c r="G163" s="34" t="s">
        <v>16642</v>
      </c>
      <c r="H163" s="34" t="s">
        <v>16550</v>
      </c>
      <c r="I163" s="35">
        <v>1</v>
      </c>
      <c r="J163" s="34" t="s">
        <v>16853</v>
      </c>
      <c r="K163" s="35"/>
      <c r="L163" s="34" t="s">
        <v>16098</v>
      </c>
      <c r="M163" s="35" t="s">
        <v>9</v>
      </c>
      <c r="N163" s="34" t="s">
        <v>1669</v>
      </c>
      <c r="O163" s="35" t="s">
        <v>816</v>
      </c>
      <c r="P163" s="35" t="s">
        <v>2711</v>
      </c>
    </row>
    <row r="164" spans="1:16" ht="13.2" customHeight="1" x14ac:dyDescent="0.25">
      <c r="A164" s="35">
        <v>162</v>
      </c>
      <c r="B164" s="34" t="s">
        <v>16948</v>
      </c>
      <c r="C164" s="35"/>
      <c r="D164" s="34" t="s">
        <v>16642</v>
      </c>
      <c r="E164" s="34" t="s">
        <v>16550</v>
      </c>
      <c r="F164" s="34" t="s">
        <v>16551</v>
      </c>
      <c r="G164" s="34" t="s">
        <v>16197</v>
      </c>
      <c r="H164" s="34" t="s">
        <v>16198</v>
      </c>
      <c r="I164" s="35">
        <v>2</v>
      </c>
      <c r="J164" s="34" t="s">
        <v>16949</v>
      </c>
      <c r="K164" s="35"/>
      <c r="L164" s="34" t="s">
        <v>16098</v>
      </c>
      <c r="M164" s="35" t="s">
        <v>9</v>
      </c>
      <c r="N164" s="34" t="s">
        <v>3887</v>
      </c>
      <c r="O164" s="35" t="s">
        <v>816</v>
      </c>
      <c r="P164" s="35" t="s">
        <v>2711</v>
      </c>
    </row>
    <row r="165" spans="1:16" ht="13.2" customHeight="1" x14ac:dyDescent="0.25">
      <c r="A165" s="35">
        <v>163</v>
      </c>
      <c r="B165" s="34" t="s">
        <v>16950</v>
      </c>
      <c r="C165" s="35"/>
      <c r="D165" s="34" t="s">
        <v>16197</v>
      </c>
      <c r="E165" s="34" t="s">
        <v>16198</v>
      </c>
      <c r="F165" s="34" t="s">
        <v>9825</v>
      </c>
      <c r="G165" s="34" t="s">
        <v>16629</v>
      </c>
      <c r="H165" s="34" t="s">
        <v>16630</v>
      </c>
      <c r="I165" s="35">
        <v>1</v>
      </c>
      <c r="J165" s="34" t="s">
        <v>16856</v>
      </c>
      <c r="K165" s="35"/>
      <c r="L165" s="34" t="s">
        <v>16098</v>
      </c>
      <c r="M165" s="35" t="s">
        <v>9</v>
      </c>
      <c r="N165" s="34" t="s">
        <v>10589</v>
      </c>
      <c r="O165" s="35" t="s">
        <v>816</v>
      </c>
      <c r="P165" s="35" t="s">
        <v>2711</v>
      </c>
    </row>
    <row r="166" spans="1:16" ht="13.2" customHeight="1" x14ac:dyDescent="0.25">
      <c r="A166" s="35">
        <v>164</v>
      </c>
      <c r="B166" s="34" t="s">
        <v>16951</v>
      </c>
      <c r="C166" s="35"/>
      <c r="D166" s="34" t="s">
        <v>16629</v>
      </c>
      <c r="E166" s="34" t="s">
        <v>16630</v>
      </c>
      <c r="F166" s="34" t="s">
        <v>16653</v>
      </c>
      <c r="G166" s="34" t="s">
        <v>16657</v>
      </c>
      <c r="H166" s="34" t="s">
        <v>16641</v>
      </c>
      <c r="I166" s="35">
        <v>1</v>
      </c>
      <c r="J166" s="34" t="s">
        <v>16768</v>
      </c>
      <c r="K166" s="35"/>
      <c r="L166" s="34" t="s">
        <v>16098</v>
      </c>
      <c r="M166" s="35" t="s">
        <v>9</v>
      </c>
      <c r="N166" s="34" t="s">
        <v>3887</v>
      </c>
      <c r="O166" s="35" t="s">
        <v>816</v>
      </c>
      <c r="P166" s="35" t="s">
        <v>2711</v>
      </c>
    </row>
    <row r="167" spans="1:16" ht="13.2" customHeight="1" x14ac:dyDescent="0.25">
      <c r="A167" s="35">
        <v>165</v>
      </c>
      <c r="B167" s="34" t="s">
        <v>16952</v>
      </c>
      <c r="C167" s="35"/>
      <c r="D167" s="34" t="s">
        <v>16657</v>
      </c>
      <c r="E167" s="34" t="s">
        <v>16641</v>
      </c>
      <c r="F167" s="34" t="s">
        <v>16642</v>
      </c>
      <c r="G167" s="34" t="s">
        <v>16550</v>
      </c>
      <c r="H167" s="34" t="s">
        <v>16551</v>
      </c>
      <c r="I167" s="35">
        <v>1</v>
      </c>
      <c r="J167" s="34" t="s">
        <v>16770</v>
      </c>
      <c r="K167" s="35"/>
      <c r="L167" s="34" t="s">
        <v>16098</v>
      </c>
      <c r="M167" s="35" t="s">
        <v>9</v>
      </c>
      <c r="N167" s="34" t="s">
        <v>1669</v>
      </c>
      <c r="O167" s="35" t="s">
        <v>816</v>
      </c>
      <c r="P167" s="35" t="s">
        <v>2711</v>
      </c>
    </row>
    <row r="168" spans="1:16" ht="13.2" customHeight="1" x14ac:dyDescent="0.25">
      <c r="A168" s="35">
        <v>166</v>
      </c>
      <c r="B168" s="34" t="s">
        <v>16953</v>
      </c>
      <c r="C168" s="35"/>
      <c r="D168" s="34" t="s">
        <v>16550</v>
      </c>
      <c r="E168" s="34" t="s">
        <v>16551</v>
      </c>
      <c r="F168" s="34" t="s">
        <v>16197</v>
      </c>
      <c r="G168" s="34" t="s">
        <v>16198</v>
      </c>
      <c r="H168" s="34" t="s">
        <v>9825</v>
      </c>
      <c r="I168" s="35">
        <v>1</v>
      </c>
      <c r="J168" s="34" t="s">
        <v>16861</v>
      </c>
      <c r="K168" s="35"/>
      <c r="L168" s="34" t="s">
        <v>16098</v>
      </c>
      <c r="M168" s="35" t="s">
        <v>9</v>
      </c>
      <c r="N168" s="34" t="s">
        <v>2655</v>
      </c>
      <c r="O168" s="35" t="s">
        <v>816</v>
      </c>
      <c r="P168" s="35" t="s">
        <v>2711</v>
      </c>
    </row>
    <row r="169" spans="1:16" ht="13.2" customHeight="1" x14ac:dyDescent="0.25">
      <c r="A169" s="35">
        <v>167</v>
      </c>
      <c r="B169" s="34" t="s">
        <v>16954</v>
      </c>
      <c r="C169" s="35"/>
      <c r="D169" s="34" t="s">
        <v>16198</v>
      </c>
      <c r="E169" s="34" t="s">
        <v>9825</v>
      </c>
      <c r="F169" s="34" t="s">
        <v>16629</v>
      </c>
      <c r="G169" s="34" t="s">
        <v>16630</v>
      </c>
      <c r="H169" s="34" t="s">
        <v>16653</v>
      </c>
      <c r="I169" s="35">
        <v>1</v>
      </c>
      <c r="J169" s="34" t="s">
        <v>16955</v>
      </c>
      <c r="K169" s="35"/>
      <c r="L169" s="34" t="s">
        <v>16098</v>
      </c>
      <c r="M169" s="35" t="s">
        <v>9</v>
      </c>
      <c r="N169" s="34" t="s">
        <v>1669</v>
      </c>
      <c r="O169" s="35" t="s">
        <v>816</v>
      </c>
      <c r="P169" s="35" t="s">
        <v>2711</v>
      </c>
    </row>
    <row r="170" spans="1:16" ht="13.2" customHeight="1" x14ac:dyDescent="0.25">
      <c r="A170" s="35">
        <v>168</v>
      </c>
      <c r="B170" s="34" t="s">
        <v>16956</v>
      </c>
      <c r="C170" s="35"/>
      <c r="D170" s="34" t="s">
        <v>16957</v>
      </c>
      <c r="E170" s="34" t="s">
        <v>16653</v>
      </c>
      <c r="F170" s="34" t="s">
        <v>16657</v>
      </c>
      <c r="G170" s="34" t="s">
        <v>16641</v>
      </c>
      <c r="H170" s="34" t="s">
        <v>16642</v>
      </c>
      <c r="I170" s="35">
        <v>1</v>
      </c>
      <c r="J170" s="34" t="s">
        <v>16958</v>
      </c>
      <c r="K170" s="35"/>
      <c r="L170" s="34" t="s">
        <v>16098</v>
      </c>
      <c r="M170" s="35" t="s">
        <v>9</v>
      </c>
      <c r="N170" s="34" t="s">
        <v>4030</v>
      </c>
      <c r="O170" s="35" t="s">
        <v>816</v>
      </c>
      <c r="P170" s="35" t="s">
        <v>2711</v>
      </c>
    </row>
    <row r="171" spans="1:16" ht="13.2" customHeight="1" x14ac:dyDescent="0.25">
      <c r="A171" s="35">
        <v>169</v>
      </c>
      <c r="B171" s="34" t="s">
        <v>16959</v>
      </c>
      <c r="C171" s="35"/>
      <c r="D171" s="34" t="s">
        <v>16960</v>
      </c>
      <c r="E171" s="34" t="s">
        <v>16961</v>
      </c>
      <c r="F171" s="34" t="s">
        <v>16962</v>
      </c>
      <c r="G171" s="34" t="s">
        <v>16963</v>
      </c>
      <c r="H171" s="34" t="s">
        <v>16964</v>
      </c>
      <c r="I171" s="35">
        <v>3</v>
      </c>
      <c r="J171" s="34" t="s">
        <v>16965</v>
      </c>
      <c r="K171" s="35"/>
      <c r="L171" s="34" t="s">
        <v>16098</v>
      </c>
      <c r="M171" s="35" t="s">
        <v>9</v>
      </c>
      <c r="N171" s="34" t="s">
        <v>1669</v>
      </c>
      <c r="O171" s="35" t="s">
        <v>816</v>
      </c>
      <c r="P171" s="35" t="s">
        <v>2711</v>
      </c>
    </row>
    <row r="172" spans="1:16" ht="13.2" customHeight="1" x14ac:dyDescent="0.25">
      <c r="A172" s="35">
        <v>170</v>
      </c>
      <c r="B172" s="34" t="s">
        <v>16966</v>
      </c>
      <c r="C172" s="35"/>
      <c r="D172" s="34" t="s">
        <v>16551</v>
      </c>
      <c r="E172" s="34" t="s">
        <v>16197</v>
      </c>
      <c r="F172" s="34" t="s">
        <v>16198</v>
      </c>
      <c r="G172" s="34" t="s">
        <v>9825</v>
      </c>
      <c r="H172" s="34" t="s">
        <v>16629</v>
      </c>
      <c r="I172" s="35">
        <v>1</v>
      </c>
      <c r="J172" s="34" t="s">
        <v>16967</v>
      </c>
      <c r="K172" s="35"/>
      <c r="L172" s="34" t="s">
        <v>16098</v>
      </c>
      <c r="M172" s="35" t="s">
        <v>9</v>
      </c>
      <c r="N172" s="34" t="s">
        <v>3900</v>
      </c>
      <c r="O172" s="35" t="s">
        <v>816</v>
      </c>
      <c r="P172" s="35" t="s">
        <v>2711</v>
      </c>
    </row>
    <row r="173" spans="1:16" ht="13.2" customHeight="1" x14ac:dyDescent="0.25">
      <c r="A173" s="35">
        <v>171</v>
      </c>
      <c r="B173" s="34" t="s">
        <v>16968</v>
      </c>
      <c r="C173" s="35"/>
      <c r="D173" s="34" t="s">
        <v>9825</v>
      </c>
      <c r="E173" s="34" t="s">
        <v>16629</v>
      </c>
      <c r="F173" s="34" t="s">
        <v>16630</v>
      </c>
      <c r="G173" s="34" t="s">
        <v>16653</v>
      </c>
      <c r="H173" s="34" t="s">
        <v>16657</v>
      </c>
      <c r="I173" s="35">
        <v>1</v>
      </c>
      <c r="J173" s="34" t="s">
        <v>16851</v>
      </c>
      <c r="K173" s="35"/>
      <c r="L173" s="34" t="s">
        <v>16098</v>
      </c>
      <c r="M173" s="35" t="s">
        <v>9</v>
      </c>
      <c r="N173" s="34" t="s">
        <v>3887</v>
      </c>
      <c r="O173" s="35" t="s">
        <v>816</v>
      </c>
      <c r="P173" s="35" t="s">
        <v>2711</v>
      </c>
    </row>
    <row r="174" spans="1:16" ht="13.2" customHeight="1" x14ac:dyDescent="0.25">
      <c r="A174" s="35">
        <v>172</v>
      </c>
      <c r="B174" s="34" t="s">
        <v>16969</v>
      </c>
      <c r="C174" s="35"/>
      <c r="D174" s="34" t="s">
        <v>16653</v>
      </c>
      <c r="E174" s="34" t="s">
        <v>16657</v>
      </c>
      <c r="F174" s="34" t="s">
        <v>16641</v>
      </c>
      <c r="G174" s="34" t="s">
        <v>16642</v>
      </c>
      <c r="H174" s="34" t="s">
        <v>16550</v>
      </c>
      <c r="I174" s="35">
        <v>1</v>
      </c>
      <c r="J174" s="34" t="s">
        <v>16853</v>
      </c>
      <c r="K174" s="35"/>
      <c r="L174" s="34" t="s">
        <v>16098</v>
      </c>
      <c r="M174" s="35" t="s">
        <v>9</v>
      </c>
      <c r="N174" s="34" t="s">
        <v>1669</v>
      </c>
      <c r="O174" s="35" t="s">
        <v>816</v>
      </c>
      <c r="P174" s="35" t="s">
        <v>2711</v>
      </c>
    </row>
    <row r="175" spans="1:16" ht="13.2" customHeight="1" x14ac:dyDescent="0.25">
      <c r="A175" s="35">
        <v>173</v>
      </c>
      <c r="B175" s="34" t="s">
        <v>16970</v>
      </c>
      <c r="C175" s="35"/>
      <c r="D175" s="34" t="s">
        <v>16642</v>
      </c>
      <c r="E175" s="34" t="s">
        <v>16550</v>
      </c>
      <c r="F175" s="34" t="s">
        <v>16551</v>
      </c>
      <c r="G175" s="34" t="s">
        <v>16197</v>
      </c>
      <c r="H175" s="34" t="s">
        <v>16198</v>
      </c>
      <c r="I175" s="35">
        <v>1</v>
      </c>
      <c r="J175" s="34" t="s">
        <v>16971</v>
      </c>
      <c r="K175" s="35"/>
      <c r="L175" s="34" t="s">
        <v>16189</v>
      </c>
      <c r="M175" s="35" t="s">
        <v>9</v>
      </c>
      <c r="N175" s="34" t="s">
        <v>1669</v>
      </c>
      <c r="O175" s="35" t="s">
        <v>816</v>
      </c>
      <c r="P175" s="35" t="s">
        <v>2711</v>
      </c>
    </row>
    <row r="176" spans="1:16" ht="13.2" customHeight="1" x14ac:dyDescent="0.25">
      <c r="A176" s="35">
        <v>174</v>
      </c>
      <c r="B176" s="34" t="s">
        <v>16972</v>
      </c>
      <c r="C176" s="35"/>
      <c r="D176" s="34" t="s">
        <v>16197</v>
      </c>
      <c r="E176" s="34" t="s">
        <v>16198</v>
      </c>
      <c r="F176" s="34" t="s">
        <v>9825</v>
      </c>
      <c r="G176" s="34" t="s">
        <v>16629</v>
      </c>
      <c r="H176" s="34" t="s">
        <v>16630</v>
      </c>
      <c r="I176" s="35">
        <v>2</v>
      </c>
      <c r="J176" s="34" t="s">
        <v>16973</v>
      </c>
      <c r="K176" s="35"/>
      <c r="L176" s="34" t="s">
        <v>16098</v>
      </c>
      <c r="M176" s="35" t="s">
        <v>9</v>
      </c>
      <c r="N176" s="34" t="s">
        <v>1669</v>
      </c>
      <c r="O176" s="35" t="s">
        <v>816</v>
      </c>
      <c r="P176" s="35" t="s">
        <v>2711</v>
      </c>
    </row>
    <row r="177" spans="1:16" ht="13.2" customHeight="1" x14ac:dyDescent="0.25">
      <c r="A177" s="35">
        <v>175</v>
      </c>
      <c r="B177" s="34" t="s">
        <v>16974</v>
      </c>
      <c r="C177" s="35"/>
      <c r="D177" s="34" t="s">
        <v>16629</v>
      </c>
      <c r="E177" s="34" t="s">
        <v>16630</v>
      </c>
      <c r="F177" s="34" t="s">
        <v>16653</v>
      </c>
      <c r="G177" s="34" t="s">
        <v>16657</v>
      </c>
      <c r="H177" s="34" t="s">
        <v>16641</v>
      </c>
      <c r="I177" s="35">
        <v>1</v>
      </c>
      <c r="J177" s="34" t="s">
        <v>16768</v>
      </c>
      <c r="K177" s="35"/>
      <c r="L177" s="34" t="s">
        <v>16098</v>
      </c>
      <c r="M177" s="35" t="s">
        <v>9</v>
      </c>
      <c r="N177" s="34" t="s">
        <v>4167</v>
      </c>
      <c r="O177" s="35" t="s">
        <v>816</v>
      </c>
      <c r="P177" s="35" t="s">
        <v>2711</v>
      </c>
    </row>
    <row r="178" spans="1:16" ht="13.2" customHeight="1" x14ac:dyDescent="0.25">
      <c r="A178" s="35">
        <v>176</v>
      </c>
      <c r="B178" s="34" t="s">
        <v>16975</v>
      </c>
      <c r="C178" s="35"/>
      <c r="D178" s="34" t="s">
        <v>16657</v>
      </c>
      <c r="E178" s="34" t="s">
        <v>16641</v>
      </c>
      <c r="F178" s="34" t="s">
        <v>16642</v>
      </c>
      <c r="G178" s="34" t="s">
        <v>16550</v>
      </c>
      <c r="H178" s="34" t="s">
        <v>16551</v>
      </c>
      <c r="I178" s="35">
        <v>1</v>
      </c>
      <c r="J178" s="34" t="s">
        <v>16976</v>
      </c>
      <c r="K178" s="35"/>
      <c r="L178" s="34" t="s">
        <v>16209</v>
      </c>
      <c r="M178" s="35" t="s">
        <v>9</v>
      </c>
      <c r="N178" s="34" t="s">
        <v>3900</v>
      </c>
      <c r="O178" s="35" t="s">
        <v>816</v>
      </c>
      <c r="P178" s="35" t="s">
        <v>2711</v>
      </c>
    </row>
    <row r="179" spans="1:16" ht="13.2" customHeight="1" x14ac:dyDescent="0.25">
      <c r="A179" s="35">
        <v>177</v>
      </c>
      <c r="B179" s="34" t="s">
        <v>16977</v>
      </c>
      <c r="C179" s="35"/>
      <c r="D179" s="34" t="s">
        <v>16550</v>
      </c>
      <c r="E179" s="34" t="s">
        <v>16551</v>
      </c>
      <c r="F179" s="34" t="s">
        <v>16197</v>
      </c>
      <c r="G179" s="34" t="s">
        <v>16198</v>
      </c>
      <c r="H179" s="34" t="s">
        <v>9825</v>
      </c>
      <c r="I179" s="35">
        <v>1</v>
      </c>
      <c r="J179" s="34" t="s">
        <v>16978</v>
      </c>
      <c r="K179" s="35"/>
      <c r="L179" s="34" t="s">
        <v>16209</v>
      </c>
      <c r="M179" s="35" t="s">
        <v>9</v>
      </c>
      <c r="N179" s="34" t="s">
        <v>2655</v>
      </c>
      <c r="O179" s="35" t="s">
        <v>816</v>
      </c>
      <c r="P179" s="35" t="s">
        <v>2711</v>
      </c>
    </row>
    <row r="180" spans="1:16" ht="13.2" customHeight="1" x14ac:dyDescent="0.25">
      <c r="A180" s="35">
        <v>178</v>
      </c>
      <c r="B180" s="34" t="s">
        <v>16979</v>
      </c>
      <c r="C180" s="35"/>
      <c r="D180" s="34" t="s">
        <v>16198</v>
      </c>
      <c r="E180" s="34" t="s">
        <v>9825</v>
      </c>
      <c r="F180" s="34" t="s">
        <v>16629</v>
      </c>
      <c r="G180" s="34" t="s">
        <v>16630</v>
      </c>
      <c r="H180" s="34" t="s">
        <v>16653</v>
      </c>
      <c r="I180" s="35">
        <v>4</v>
      </c>
      <c r="J180" s="34" t="s">
        <v>16980</v>
      </c>
      <c r="K180" s="35"/>
      <c r="L180" s="34" t="s">
        <v>16209</v>
      </c>
      <c r="M180" s="35" t="s">
        <v>9</v>
      </c>
      <c r="N180" s="34" t="s">
        <v>1669</v>
      </c>
      <c r="O180" s="35" t="s">
        <v>816</v>
      </c>
      <c r="P180" s="35" t="s">
        <v>2711</v>
      </c>
    </row>
    <row r="181" spans="1:16" ht="13.2" customHeight="1" x14ac:dyDescent="0.25">
      <c r="A181" s="35">
        <v>179</v>
      </c>
      <c r="B181" s="34" t="s">
        <v>16981</v>
      </c>
      <c r="C181" s="35"/>
      <c r="D181" s="34" t="s">
        <v>16630</v>
      </c>
      <c r="E181" s="34" t="s">
        <v>16653</v>
      </c>
      <c r="F181" s="34" t="s">
        <v>16657</v>
      </c>
      <c r="G181" s="34" t="s">
        <v>16641</v>
      </c>
      <c r="H181" s="34" t="s">
        <v>16642</v>
      </c>
      <c r="I181" s="35">
        <v>1</v>
      </c>
      <c r="J181" s="34" t="s">
        <v>16982</v>
      </c>
      <c r="K181" s="35"/>
      <c r="L181" s="34" t="s">
        <v>16145</v>
      </c>
      <c r="M181" s="35" t="s">
        <v>9</v>
      </c>
      <c r="N181" s="34" t="s">
        <v>9240</v>
      </c>
      <c r="O181" s="35" t="s">
        <v>816</v>
      </c>
      <c r="P181" s="35" t="s">
        <v>2711</v>
      </c>
    </row>
    <row r="182" spans="1:16" ht="13.2" customHeight="1" x14ac:dyDescent="0.25">
      <c r="A182" s="35">
        <v>180</v>
      </c>
      <c r="B182" s="34" t="s">
        <v>16983</v>
      </c>
      <c r="C182" s="35"/>
      <c r="D182" s="34" t="s">
        <v>16641</v>
      </c>
      <c r="E182" s="34" t="s">
        <v>16642</v>
      </c>
      <c r="F182" s="34" t="s">
        <v>16550</v>
      </c>
      <c r="G182" s="34" t="s">
        <v>16551</v>
      </c>
      <c r="H182" s="34" t="s">
        <v>16197</v>
      </c>
      <c r="I182" s="35">
        <v>1</v>
      </c>
      <c r="J182" s="34" t="s">
        <v>16867</v>
      </c>
      <c r="K182" s="35"/>
      <c r="L182" s="34" t="s">
        <v>16098</v>
      </c>
      <c r="M182" s="35" t="s">
        <v>9</v>
      </c>
      <c r="N182" s="34" t="s">
        <v>3900</v>
      </c>
      <c r="O182" s="35" t="s">
        <v>816</v>
      </c>
      <c r="P182" s="35" t="s">
        <v>2711</v>
      </c>
    </row>
    <row r="183" spans="1:16" ht="13.2" customHeight="1" x14ac:dyDescent="0.25">
      <c r="A183" s="35">
        <v>181</v>
      </c>
      <c r="B183" s="34" t="s">
        <v>16984</v>
      </c>
      <c r="C183" s="35"/>
      <c r="D183" s="34" t="s">
        <v>16551</v>
      </c>
      <c r="E183" s="34" t="s">
        <v>16197</v>
      </c>
      <c r="F183" s="34" t="s">
        <v>16198</v>
      </c>
      <c r="G183" s="34" t="s">
        <v>9825</v>
      </c>
      <c r="H183" s="34" t="s">
        <v>16629</v>
      </c>
      <c r="I183" s="35">
        <v>1</v>
      </c>
      <c r="J183" s="34" t="s">
        <v>16849</v>
      </c>
      <c r="K183" s="35"/>
      <c r="L183" s="34" t="s">
        <v>16098</v>
      </c>
      <c r="M183" s="35" t="s">
        <v>9</v>
      </c>
      <c r="N183" s="34" t="s">
        <v>3887</v>
      </c>
      <c r="O183" s="35" t="s">
        <v>816</v>
      </c>
      <c r="P183" s="35" t="s">
        <v>2711</v>
      </c>
    </row>
    <row r="184" spans="1:16" ht="13.2" customHeight="1" x14ac:dyDescent="0.25">
      <c r="A184" s="35">
        <v>182</v>
      </c>
      <c r="B184" s="34" t="s">
        <v>16985</v>
      </c>
      <c r="C184" s="35"/>
      <c r="D184" s="34" t="s">
        <v>9825</v>
      </c>
      <c r="E184" s="34" t="s">
        <v>16629</v>
      </c>
      <c r="F184" s="34" t="s">
        <v>16630</v>
      </c>
      <c r="G184" s="34" t="s">
        <v>16653</v>
      </c>
      <c r="H184" s="34" t="s">
        <v>16657</v>
      </c>
      <c r="I184" s="35">
        <v>1</v>
      </c>
      <c r="J184" s="34" t="s">
        <v>16986</v>
      </c>
      <c r="K184" s="35"/>
      <c r="L184" s="34" t="s">
        <v>16145</v>
      </c>
      <c r="M184" s="35" t="s">
        <v>9</v>
      </c>
      <c r="N184" s="34" t="s">
        <v>3951</v>
      </c>
      <c r="O184" s="35" t="s">
        <v>816</v>
      </c>
      <c r="P184" s="35" t="s">
        <v>2711</v>
      </c>
    </row>
    <row r="185" spans="1:16" ht="13.2" customHeight="1" x14ac:dyDescent="0.25">
      <c r="A185" s="35">
        <v>183</v>
      </c>
      <c r="B185" s="34" t="s">
        <v>16987</v>
      </c>
      <c r="C185" s="35"/>
      <c r="D185" s="34" t="s">
        <v>16653</v>
      </c>
      <c r="E185" s="34" t="s">
        <v>16657</v>
      </c>
      <c r="F185" s="34" t="s">
        <v>16641</v>
      </c>
      <c r="G185" s="34" t="s">
        <v>16642</v>
      </c>
      <c r="H185" s="34" t="s">
        <v>16550</v>
      </c>
      <c r="I185" s="35">
        <v>2</v>
      </c>
      <c r="J185" s="34" t="s">
        <v>16988</v>
      </c>
      <c r="K185" s="35"/>
      <c r="L185" s="34" t="s">
        <v>16098</v>
      </c>
      <c r="M185" s="35" t="s">
        <v>9</v>
      </c>
      <c r="N185" s="34" t="s">
        <v>1669</v>
      </c>
      <c r="O185" s="35" t="s">
        <v>816</v>
      </c>
      <c r="P185" s="35" t="s">
        <v>2711</v>
      </c>
    </row>
    <row r="186" spans="1:16" ht="13.2" customHeight="1" x14ac:dyDescent="0.25">
      <c r="A186" s="35">
        <v>184</v>
      </c>
      <c r="B186" s="34" t="s">
        <v>16989</v>
      </c>
      <c r="C186" s="35"/>
      <c r="D186" s="34" t="s">
        <v>16642</v>
      </c>
      <c r="E186" s="34" t="s">
        <v>16550</v>
      </c>
      <c r="F186" s="34" t="s">
        <v>16551</v>
      </c>
      <c r="G186" s="34" t="s">
        <v>16197</v>
      </c>
      <c r="H186" s="34" t="s">
        <v>16198</v>
      </c>
      <c r="I186" s="35">
        <v>1</v>
      </c>
      <c r="J186" s="34" t="s">
        <v>16990</v>
      </c>
      <c r="K186" s="35"/>
      <c r="L186" s="34" t="s">
        <v>16098</v>
      </c>
      <c r="M186" s="35" t="s">
        <v>9</v>
      </c>
      <c r="N186" s="34" t="s">
        <v>2655</v>
      </c>
      <c r="O186" s="35" t="s">
        <v>816</v>
      </c>
      <c r="P186" s="35" t="s">
        <v>2711</v>
      </c>
    </row>
    <row r="187" spans="1:16" ht="13.2" customHeight="1" x14ac:dyDescent="0.25">
      <c r="A187" s="35">
        <v>185</v>
      </c>
      <c r="B187" s="34" t="s">
        <v>16991</v>
      </c>
      <c r="C187" s="35"/>
      <c r="D187" s="34" t="s">
        <v>16992</v>
      </c>
      <c r="E187" s="34" t="s">
        <v>10037</v>
      </c>
      <c r="F187" s="34" t="s">
        <v>15084</v>
      </c>
      <c r="G187" s="34" t="s">
        <v>15739</v>
      </c>
      <c r="H187" s="34" t="s">
        <v>16141</v>
      </c>
      <c r="I187" s="35">
        <v>3</v>
      </c>
      <c r="J187" s="34" t="s">
        <v>16993</v>
      </c>
      <c r="K187" s="35"/>
      <c r="L187" s="34" t="s">
        <v>16098</v>
      </c>
      <c r="M187" s="35" t="s">
        <v>9</v>
      </c>
      <c r="N187" s="34" t="s">
        <v>16994</v>
      </c>
      <c r="O187" s="35" t="s">
        <v>816</v>
      </c>
      <c r="P187" s="35" t="s">
        <v>2711</v>
      </c>
    </row>
    <row r="188" spans="1:16" ht="13.2" customHeight="1" x14ac:dyDescent="0.25">
      <c r="A188" s="35">
        <v>186</v>
      </c>
      <c r="B188" s="34" t="s">
        <v>16995</v>
      </c>
      <c r="C188" s="35"/>
      <c r="D188" s="34" t="s">
        <v>16739</v>
      </c>
      <c r="E188" s="34" t="s">
        <v>15199</v>
      </c>
      <c r="F188" s="34" t="s">
        <v>16738</v>
      </c>
      <c r="G188" s="34" t="s">
        <v>16996</v>
      </c>
      <c r="H188" s="34" t="s">
        <v>16997</v>
      </c>
      <c r="I188" s="35">
        <v>2</v>
      </c>
      <c r="J188" s="34" t="s">
        <v>16998</v>
      </c>
      <c r="K188" s="35"/>
      <c r="L188" s="34" t="s">
        <v>16209</v>
      </c>
      <c r="M188" s="35" t="s">
        <v>9</v>
      </c>
      <c r="N188" s="34" t="s">
        <v>9240</v>
      </c>
      <c r="O188" s="35" t="s">
        <v>816</v>
      </c>
      <c r="P188" s="35" t="s">
        <v>2711</v>
      </c>
    </row>
    <row r="189" spans="1:16" ht="13.2" customHeight="1" x14ac:dyDescent="0.25">
      <c r="A189" s="35">
        <v>187</v>
      </c>
      <c r="B189" s="34" t="s">
        <v>16999</v>
      </c>
      <c r="C189" s="35"/>
      <c r="D189" s="34" t="s">
        <v>17000</v>
      </c>
      <c r="E189" s="34" t="s">
        <v>17001</v>
      </c>
      <c r="F189" s="34" t="s">
        <v>17002</v>
      </c>
      <c r="G189" s="34" t="s">
        <v>17003</v>
      </c>
      <c r="H189" s="34" t="s">
        <v>17004</v>
      </c>
      <c r="I189" s="35">
        <v>1</v>
      </c>
      <c r="J189" s="34" t="s">
        <v>17005</v>
      </c>
      <c r="K189" s="35"/>
      <c r="L189" s="34" t="s">
        <v>16189</v>
      </c>
      <c r="M189" s="35" t="s">
        <v>9</v>
      </c>
      <c r="N189" s="34" t="s">
        <v>6230</v>
      </c>
      <c r="O189" s="35" t="s">
        <v>816</v>
      </c>
      <c r="P189" s="35" t="s">
        <v>2711</v>
      </c>
    </row>
    <row r="190" spans="1:16" ht="13.2" customHeight="1" x14ac:dyDescent="0.25">
      <c r="A190" s="35">
        <v>188</v>
      </c>
      <c r="B190" s="34" t="s">
        <v>17006</v>
      </c>
      <c r="C190" s="35"/>
      <c r="D190" s="34" t="s">
        <v>17007</v>
      </c>
      <c r="E190" s="34" t="s">
        <v>17008</v>
      </c>
      <c r="F190" s="34" t="s">
        <v>17009</v>
      </c>
      <c r="G190" s="34" t="s">
        <v>17010</v>
      </c>
      <c r="H190" s="34" t="s">
        <v>17011</v>
      </c>
      <c r="I190" s="35">
        <v>3</v>
      </c>
      <c r="J190" s="34" t="s">
        <v>17012</v>
      </c>
      <c r="K190" s="35"/>
      <c r="L190" s="34" t="s">
        <v>16098</v>
      </c>
      <c r="M190" s="35" t="s">
        <v>9</v>
      </c>
      <c r="N190" s="34" t="s">
        <v>4065</v>
      </c>
      <c r="O190" s="35" t="s">
        <v>816</v>
      </c>
      <c r="P190" s="35" t="s">
        <v>2711</v>
      </c>
    </row>
    <row r="191" spans="1:16" ht="13.2" customHeight="1" x14ac:dyDescent="0.25">
      <c r="A191" s="35">
        <v>189</v>
      </c>
      <c r="B191" s="34" t="s">
        <v>17013</v>
      </c>
      <c r="C191" s="35"/>
      <c r="D191" s="34" t="s">
        <v>17014</v>
      </c>
      <c r="E191" s="34" t="s">
        <v>17015</v>
      </c>
      <c r="F191" s="34" t="s">
        <v>17016</v>
      </c>
      <c r="G191" s="34" t="s">
        <v>17017</v>
      </c>
      <c r="H191" s="34" t="s">
        <v>17018</v>
      </c>
      <c r="I191" s="35">
        <v>3</v>
      </c>
      <c r="J191" s="34" t="s">
        <v>17019</v>
      </c>
      <c r="K191" s="35"/>
      <c r="L191" s="34" t="s">
        <v>16098</v>
      </c>
      <c r="M191" s="35" t="s">
        <v>9</v>
      </c>
      <c r="N191" s="34" t="s">
        <v>14379</v>
      </c>
      <c r="O191" s="35" t="s">
        <v>816</v>
      </c>
      <c r="P191" s="35" t="s">
        <v>2711</v>
      </c>
    </row>
    <row r="192" spans="1:16" ht="13.2" customHeight="1" x14ac:dyDescent="0.25">
      <c r="A192" s="35">
        <v>190</v>
      </c>
      <c r="B192" s="34" t="s">
        <v>17020</v>
      </c>
      <c r="C192" s="35"/>
      <c r="D192" s="34" t="s">
        <v>17021</v>
      </c>
      <c r="E192" s="34" t="s">
        <v>17022</v>
      </c>
      <c r="F192" s="34" t="s">
        <v>17023</v>
      </c>
      <c r="G192" s="34" t="s">
        <v>17024</v>
      </c>
      <c r="H192" s="34" t="s">
        <v>17025</v>
      </c>
      <c r="I192" s="35">
        <v>2</v>
      </c>
      <c r="J192" s="34" t="s">
        <v>17026</v>
      </c>
      <c r="K192" s="35"/>
      <c r="L192" s="34" t="s">
        <v>16189</v>
      </c>
      <c r="M192" s="35" t="s">
        <v>9</v>
      </c>
      <c r="N192" s="34" t="s">
        <v>13854</v>
      </c>
      <c r="O192" s="35" t="s">
        <v>816</v>
      </c>
      <c r="P192" s="35" t="s">
        <v>2711</v>
      </c>
    </row>
    <row r="193" spans="1:16" ht="13.2" customHeight="1" x14ac:dyDescent="0.25">
      <c r="A193" s="35">
        <v>191</v>
      </c>
      <c r="B193" s="34" t="s">
        <v>17027</v>
      </c>
      <c r="C193" s="35"/>
      <c r="D193" s="34" t="s">
        <v>17028</v>
      </c>
      <c r="E193" s="34" t="s">
        <v>17029</v>
      </c>
      <c r="F193" s="34" t="s">
        <v>17030</v>
      </c>
      <c r="G193" s="34" t="s">
        <v>17031</v>
      </c>
      <c r="H193" s="34" t="s">
        <v>17032</v>
      </c>
      <c r="I193" s="35">
        <v>5</v>
      </c>
      <c r="J193" s="34" t="s">
        <v>17033</v>
      </c>
      <c r="K193" s="35"/>
      <c r="L193" s="34" t="s">
        <v>16098</v>
      </c>
      <c r="M193" s="35" t="s">
        <v>9</v>
      </c>
      <c r="N193" s="34" t="s">
        <v>12190</v>
      </c>
      <c r="O193" s="35" t="s">
        <v>816</v>
      </c>
      <c r="P193" s="35" t="s">
        <v>2711</v>
      </c>
    </row>
    <row r="194" spans="1:16" ht="13.2" customHeight="1" x14ac:dyDescent="0.25">
      <c r="A194" s="35">
        <v>192</v>
      </c>
      <c r="B194" s="34" t="s">
        <v>17034</v>
      </c>
      <c r="C194" s="35"/>
      <c r="D194" s="34" t="s">
        <v>16551</v>
      </c>
      <c r="E194" s="34" t="s">
        <v>16197</v>
      </c>
      <c r="F194" s="34" t="s">
        <v>16198</v>
      </c>
      <c r="G194" s="34" t="s">
        <v>9825</v>
      </c>
      <c r="H194" s="34" t="s">
        <v>16629</v>
      </c>
      <c r="I194" s="35">
        <v>1</v>
      </c>
      <c r="J194" s="34" t="s">
        <v>16849</v>
      </c>
      <c r="K194" s="35"/>
      <c r="L194" s="34" t="s">
        <v>16098</v>
      </c>
      <c r="M194" s="35" t="s">
        <v>9</v>
      </c>
      <c r="N194" s="34" t="s">
        <v>3900</v>
      </c>
      <c r="O194" s="35" t="s">
        <v>816</v>
      </c>
      <c r="P194" s="35" t="s">
        <v>2711</v>
      </c>
    </row>
    <row r="195" spans="1:16" ht="13.2" customHeight="1" x14ac:dyDescent="0.25">
      <c r="A195" s="35">
        <v>193</v>
      </c>
      <c r="B195" s="34" t="s">
        <v>17035</v>
      </c>
      <c r="C195" s="35"/>
      <c r="D195" s="34" t="s">
        <v>9825</v>
      </c>
      <c r="E195" s="34" t="s">
        <v>16629</v>
      </c>
      <c r="F195" s="34" t="s">
        <v>16630</v>
      </c>
      <c r="G195" s="34" t="s">
        <v>16653</v>
      </c>
      <c r="H195" s="34" t="s">
        <v>16657</v>
      </c>
      <c r="I195" s="35">
        <v>1</v>
      </c>
      <c r="J195" s="34" t="s">
        <v>16851</v>
      </c>
      <c r="K195" s="35"/>
      <c r="L195" s="34" t="s">
        <v>16098</v>
      </c>
      <c r="M195" s="35" t="s">
        <v>9</v>
      </c>
      <c r="N195" s="34" t="s">
        <v>2655</v>
      </c>
      <c r="O195" s="35" t="s">
        <v>816</v>
      </c>
      <c r="P195" s="35" t="s">
        <v>2711</v>
      </c>
    </row>
    <row r="196" spans="1:16" ht="13.2" customHeight="1" x14ac:dyDescent="0.25">
      <c r="A196" s="35">
        <v>194</v>
      </c>
      <c r="B196" s="34" t="s">
        <v>17036</v>
      </c>
      <c r="C196" s="35"/>
      <c r="D196" s="34" t="s">
        <v>16653</v>
      </c>
      <c r="E196" s="34" t="s">
        <v>16657</v>
      </c>
      <c r="F196" s="34" t="s">
        <v>16641</v>
      </c>
      <c r="G196" s="34" t="s">
        <v>16642</v>
      </c>
      <c r="H196" s="34" t="s">
        <v>16550</v>
      </c>
      <c r="I196" s="35">
        <v>1</v>
      </c>
      <c r="J196" s="34" t="s">
        <v>16853</v>
      </c>
      <c r="K196" s="35"/>
      <c r="L196" s="34" t="s">
        <v>16098</v>
      </c>
      <c r="M196" s="35" t="s">
        <v>9</v>
      </c>
      <c r="N196" s="34" t="s">
        <v>3887</v>
      </c>
      <c r="O196" s="35" t="s">
        <v>816</v>
      </c>
      <c r="P196" s="35" t="s">
        <v>2711</v>
      </c>
    </row>
    <row r="197" spans="1:16" ht="13.2" customHeight="1" x14ac:dyDescent="0.25">
      <c r="A197" s="35">
        <v>195</v>
      </c>
      <c r="B197" s="34" t="s">
        <v>17037</v>
      </c>
      <c r="C197" s="35"/>
      <c r="D197" s="34" t="s">
        <v>17038</v>
      </c>
      <c r="E197" s="34" t="s">
        <v>17039</v>
      </c>
      <c r="F197" s="34" t="s">
        <v>17040</v>
      </c>
      <c r="G197" s="34" t="s">
        <v>17041</v>
      </c>
      <c r="H197" s="34" t="s">
        <v>17042</v>
      </c>
      <c r="I197" s="35">
        <v>3</v>
      </c>
      <c r="J197" s="34" t="s">
        <v>17043</v>
      </c>
      <c r="K197" s="35"/>
      <c r="L197" s="34" t="s">
        <v>16098</v>
      </c>
      <c r="M197" s="35" t="s">
        <v>9</v>
      </c>
      <c r="N197" s="34" t="s">
        <v>17044</v>
      </c>
      <c r="O197" s="35" t="s">
        <v>816</v>
      </c>
      <c r="P197" s="35" t="s">
        <v>2711</v>
      </c>
    </row>
    <row r="198" spans="1:16" ht="13.2" customHeight="1" x14ac:dyDescent="0.25">
      <c r="A198" s="35">
        <v>196</v>
      </c>
      <c r="B198" s="34" t="s">
        <v>17045</v>
      </c>
      <c r="C198" s="35"/>
      <c r="D198" s="34" t="s">
        <v>11070</v>
      </c>
      <c r="E198" s="34" t="s">
        <v>17046</v>
      </c>
      <c r="F198" s="34" t="s">
        <v>17047</v>
      </c>
      <c r="G198" s="34" t="s">
        <v>17048</v>
      </c>
      <c r="H198" s="34" t="s">
        <v>17049</v>
      </c>
      <c r="I198" s="35">
        <v>4</v>
      </c>
      <c r="J198" s="34" t="s">
        <v>17050</v>
      </c>
      <c r="K198" s="35"/>
      <c r="L198" s="34" t="s">
        <v>16098</v>
      </c>
      <c r="M198" s="35" t="s">
        <v>9</v>
      </c>
      <c r="N198" s="34" t="s">
        <v>7564</v>
      </c>
      <c r="O198" s="35" t="s">
        <v>816</v>
      </c>
      <c r="P198" s="35" t="s">
        <v>2711</v>
      </c>
    </row>
    <row r="199" spans="1:16" ht="13.2" customHeight="1" x14ac:dyDescent="0.25">
      <c r="A199" s="35">
        <v>197</v>
      </c>
      <c r="B199" s="34" t="s">
        <v>17051</v>
      </c>
      <c r="C199" s="35"/>
      <c r="D199" s="34" t="s">
        <v>17052</v>
      </c>
      <c r="E199" s="34" t="s">
        <v>17053</v>
      </c>
      <c r="F199" s="34" t="s">
        <v>17054</v>
      </c>
      <c r="G199" s="34" t="s">
        <v>17055</v>
      </c>
      <c r="H199" s="34" t="s">
        <v>17056</v>
      </c>
      <c r="I199" s="35">
        <v>1</v>
      </c>
      <c r="J199" s="34" t="s">
        <v>17057</v>
      </c>
      <c r="K199" s="35"/>
      <c r="L199" s="34" t="s">
        <v>16209</v>
      </c>
      <c r="M199" s="35" t="s">
        <v>9</v>
      </c>
      <c r="N199" s="34" t="s">
        <v>2655</v>
      </c>
      <c r="O199" s="35" t="s">
        <v>816</v>
      </c>
      <c r="P199" s="35" t="s">
        <v>2711</v>
      </c>
    </row>
    <row r="200" spans="1:16" ht="13.2" customHeight="1" x14ac:dyDescent="0.25">
      <c r="A200" s="35">
        <v>198</v>
      </c>
      <c r="B200" s="34" t="s">
        <v>17058</v>
      </c>
      <c r="C200" s="35"/>
      <c r="D200" s="34" t="s">
        <v>16550</v>
      </c>
      <c r="E200" s="34" t="s">
        <v>16551</v>
      </c>
      <c r="F200" s="34" t="s">
        <v>16197</v>
      </c>
      <c r="G200" s="34" t="s">
        <v>16198</v>
      </c>
      <c r="H200" s="34" t="s">
        <v>9825</v>
      </c>
      <c r="I200" s="35">
        <v>1</v>
      </c>
      <c r="J200" s="34" t="s">
        <v>17059</v>
      </c>
      <c r="K200" s="35"/>
      <c r="L200" s="34" t="s">
        <v>16189</v>
      </c>
      <c r="M200" s="35" t="s">
        <v>9</v>
      </c>
      <c r="N200" s="34" t="s">
        <v>3900</v>
      </c>
      <c r="O200" s="35" t="s">
        <v>816</v>
      </c>
      <c r="P200" s="35" t="s">
        <v>2711</v>
      </c>
    </row>
    <row r="201" spans="1:16" ht="13.2" customHeight="1" x14ac:dyDescent="0.25">
      <c r="A201" s="35">
        <v>199</v>
      </c>
      <c r="B201" s="34" t="s">
        <v>17060</v>
      </c>
      <c r="C201" s="35"/>
      <c r="D201" s="34" t="s">
        <v>9825</v>
      </c>
      <c r="E201" s="34" t="s">
        <v>9826</v>
      </c>
      <c r="F201" s="34" t="s">
        <v>16141</v>
      </c>
      <c r="G201" s="34" t="s">
        <v>16543</v>
      </c>
      <c r="H201" s="34" t="s">
        <v>3299</v>
      </c>
      <c r="I201" s="35">
        <v>1</v>
      </c>
      <c r="J201" s="34" t="s">
        <v>17061</v>
      </c>
      <c r="K201" s="35"/>
      <c r="L201" s="34" t="s">
        <v>17062</v>
      </c>
      <c r="M201" s="35" t="s">
        <v>9</v>
      </c>
      <c r="N201" s="34" t="s">
        <v>17063</v>
      </c>
      <c r="O201" s="35" t="s">
        <v>164</v>
      </c>
      <c r="P201" s="35" t="s">
        <v>1865</v>
      </c>
    </row>
    <row r="202" spans="1:16" ht="13.2" customHeight="1" x14ac:dyDescent="0.25">
      <c r="A202" s="35">
        <v>200</v>
      </c>
      <c r="B202" s="34" t="s">
        <v>17064</v>
      </c>
      <c r="C202" s="35"/>
      <c r="D202" s="34" t="s">
        <v>17065</v>
      </c>
      <c r="E202" s="34" t="s">
        <v>12974</v>
      </c>
      <c r="F202" s="34" t="s">
        <v>17066</v>
      </c>
      <c r="G202" s="34" t="s">
        <v>17067</v>
      </c>
      <c r="H202" s="34" t="s">
        <v>16444</v>
      </c>
      <c r="I202" s="35">
        <v>1</v>
      </c>
      <c r="J202" s="34" t="s">
        <v>17068</v>
      </c>
      <c r="K202" s="35"/>
      <c r="L202" s="34" t="s">
        <v>17062</v>
      </c>
      <c r="M202" s="35" t="s">
        <v>9</v>
      </c>
      <c r="N202" s="34" t="s">
        <v>17069</v>
      </c>
      <c r="O202" s="35" t="s">
        <v>164</v>
      </c>
      <c r="P202" s="35" t="s">
        <v>1865</v>
      </c>
    </row>
    <row r="203" spans="1:16" ht="13.2" customHeight="1" x14ac:dyDescent="0.25">
      <c r="A203" s="35">
        <v>201</v>
      </c>
      <c r="B203" s="34" t="s">
        <v>17070</v>
      </c>
      <c r="C203" s="35"/>
      <c r="D203" s="34" t="s">
        <v>17071</v>
      </c>
      <c r="E203" s="34" t="s">
        <v>17072</v>
      </c>
      <c r="F203" s="34" t="s">
        <v>16581</v>
      </c>
      <c r="G203" s="34" t="s">
        <v>17073</v>
      </c>
      <c r="H203" s="34"/>
      <c r="I203" s="35">
        <v>1</v>
      </c>
      <c r="J203" s="34" t="s">
        <v>17074</v>
      </c>
      <c r="K203" s="35"/>
      <c r="L203" s="34" t="s">
        <v>17062</v>
      </c>
      <c r="M203" s="35" t="s">
        <v>9</v>
      </c>
      <c r="N203" s="34" t="s">
        <v>17075</v>
      </c>
      <c r="O203" s="35" t="s">
        <v>164</v>
      </c>
      <c r="P203" s="35" t="s">
        <v>1865</v>
      </c>
    </row>
    <row r="204" spans="1:16" ht="13.2" customHeight="1" x14ac:dyDescent="0.25">
      <c r="A204" s="35">
        <v>202</v>
      </c>
      <c r="B204" s="34" t="s">
        <v>17076</v>
      </c>
      <c r="C204" s="35"/>
      <c r="D204" s="34" t="s">
        <v>17077</v>
      </c>
      <c r="E204" s="34" t="s">
        <v>17078</v>
      </c>
      <c r="F204" s="34" t="s">
        <v>17079</v>
      </c>
      <c r="G204" s="34"/>
      <c r="H204" s="34"/>
      <c r="I204" s="35">
        <v>3</v>
      </c>
      <c r="J204" s="34" t="s">
        <v>17080</v>
      </c>
      <c r="K204" s="35"/>
      <c r="L204" s="34" t="s">
        <v>17062</v>
      </c>
      <c r="M204" s="35" t="s">
        <v>9</v>
      </c>
      <c r="N204" s="34" t="s">
        <v>17081</v>
      </c>
      <c r="O204" s="35" t="s">
        <v>164</v>
      </c>
      <c r="P204" s="35" t="s">
        <v>2017</v>
      </c>
    </row>
    <row r="205" spans="1:16" ht="13.2" customHeight="1" x14ac:dyDescent="0.25">
      <c r="A205" s="35">
        <v>203</v>
      </c>
      <c r="B205" s="34" t="s">
        <v>17082</v>
      </c>
      <c r="C205" s="35"/>
      <c r="D205" s="34" t="s">
        <v>17083</v>
      </c>
      <c r="E205" s="34" t="s">
        <v>9781</v>
      </c>
      <c r="F205" s="34" t="s">
        <v>11123</v>
      </c>
      <c r="G205" s="34" t="s">
        <v>1906</v>
      </c>
      <c r="H205" s="34" t="s">
        <v>17084</v>
      </c>
      <c r="I205" s="35">
        <v>1</v>
      </c>
      <c r="J205" s="34" t="s">
        <v>17085</v>
      </c>
      <c r="K205" s="35"/>
      <c r="L205" s="34" t="s">
        <v>17062</v>
      </c>
      <c r="M205" s="35" t="s">
        <v>9</v>
      </c>
      <c r="N205" s="34" t="s">
        <v>17086</v>
      </c>
      <c r="O205" s="35" t="s">
        <v>164</v>
      </c>
      <c r="P205" s="35" t="s">
        <v>2109</v>
      </c>
    </row>
    <row r="206" spans="1:16" ht="13.2" customHeight="1" x14ac:dyDescent="0.25">
      <c r="A206" s="35">
        <v>204</v>
      </c>
      <c r="B206" s="34" t="s">
        <v>17087</v>
      </c>
      <c r="C206" s="35"/>
      <c r="D206" s="34" t="s">
        <v>17088</v>
      </c>
      <c r="E206" s="34" t="s">
        <v>17089</v>
      </c>
      <c r="F206" s="34" t="s">
        <v>17090</v>
      </c>
      <c r="G206" s="34" t="s">
        <v>17091</v>
      </c>
      <c r="H206" s="34" t="s">
        <v>17092</v>
      </c>
      <c r="I206" s="35">
        <v>1</v>
      </c>
      <c r="J206" s="34" t="s">
        <v>17093</v>
      </c>
      <c r="K206" s="35"/>
      <c r="L206" s="34" t="s">
        <v>17062</v>
      </c>
      <c r="M206" s="35" t="s">
        <v>9</v>
      </c>
      <c r="N206" s="34" t="s">
        <v>17094</v>
      </c>
      <c r="O206" s="35" t="s">
        <v>164</v>
      </c>
      <c r="P206" s="35" t="s">
        <v>2109</v>
      </c>
    </row>
    <row r="207" spans="1:16" ht="13.2" customHeight="1" x14ac:dyDescent="0.25">
      <c r="A207" s="35">
        <v>205</v>
      </c>
      <c r="B207" s="34" t="s">
        <v>17095</v>
      </c>
      <c r="C207" s="35" t="s">
        <v>17096</v>
      </c>
      <c r="D207" s="34" t="s">
        <v>16220</v>
      </c>
      <c r="E207" s="34" t="s">
        <v>17097</v>
      </c>
      <c r="F207" s="34" t="s">
        <v>15252</v>
      </c>
      <c r="G207" s="34" t="s">
        <v>15252</v>
      </c>
      <c r="H207" s="34" t="s">
        <v>15252</v>
      </c>
      <c r="I207" s="35">
        <v>1</v>
      </c>
      <c r="J207" s="34" t="s">
        <v>17098</v>
      </c>
      <c r="K207" s="35"/>
      <c r="L207" s="34" t="s">
        <v>17062</v>
      </c>
      <c r="M207" s="35" t="s">
        <v>9</v>
      </c>
      <c r="N207" s="34" t="s">
        <v>17099</v>
      </c>
      <c r="O207" s="35" t="s">
        <v>164</v>
      </c>
      <c r="P207" s="35" t="s">
        <v>2109</v>
      </c>
    </row>
    <row r="208" spans="1:16" ht="13.2" customHeight="1" x14ac:dyDescent="0.25">
      <c r="A208" s="35">
        <v>206</v>
      </c>
      <c r="B208" s="34" t="s">
        <v>17100</v>
      </c>
      <c r="C208" s="35"/>
      <c r="D208" s="34" t="s">
        <v>17101</v>
      </c>
      <c r="E208" s="34" t="s">
        <v>17102</v>
      </c>
      <c r="F208" s="34" t="s">
        <v>17103</v>
      </c>
      <c r="G208" s="34" t="s">
        <v>17104</v>
      </c>
      <c r="H208" s="34" t="s">
        <v>17105</v>
      </c>
      <c r="I208" s="35">
        <v>1</v>
      </c>
      <c r="J208" s="34" t="s">
        <v>17106</v>
      </c>
      <c r="K208" s="35"/>
      <c r="L208" s="34" t="s">
        <v>17062</v>
      </c>
      <c r="M208" s="35" t="s">
        <v>9</v>
      </c>
      <c r="N208" s="34" t="s">
        <v>17107</v>
      </c>
      <c r="O208" s="35" t="s">
        <v>164</v>
      </c>
      <c r="P208" s="35" t="s">
        <v>2155</v>
      </c>
    </row>
    <row r="209" spans="1:16" ht="13.2" customHeight="1" x14ac:dyDescent="0.25">
      <c r="A209" s="35">
        <v>207</v>
      </c>
      <c r="B209" s="34" t="s">
        <v>17108</v>
      </c>
      <c r="C209" s="35"/>
      <c r="D209" s="34" t="s">
        <v>15858</v>
      </c>
      <c r="E209" s="34" t="s">
        <v>17109</v>
      </c>
      <c r="F209" s="34" t="s">
        <v>17110</v>
      </c>
      <c r="G209" s="34" t="s">
        <v>17111</v>
      </c>
      <c r="H209" s="34" t="s">
        <v>17112</v>
      </c>
      <c r="I209" s="35">
        <v>1</v>
      </c>
      <c r="J209" s="34" t="s">
        <v>17113</v>
      </c>
      <c r="K209" s="35"/>
      <c r="L209" s="34" t="s">
        <v>17062</v>
      </c>
      <c r="M209" s="35" t="s">
        <v>9</v>
      </c>
      <c r="N209" s="34" t="s">
        <v>17114</v>
      </c>
      <c r="O209" s="35" t="s">
        <v>164</v>
      </c>
      <c r="P209" s="35" t="s">
        <v>2155</v>
      </c>
    </row>
    <row r="210" spans="1:16" ht="13.2" customHeight="1" x14ac:dyDescent="0.25">
      <c r="A210" s="35">
        <v>208</v>
      </c>
      <c r="B210" s="34" t="s">
        <v>17115</v>
      </c>
      <c r="C210" s="35"/>
      <c r="D210" s="34" t="s">
        <v>17116</v>
      </c>
      <c r="E210" s="34" t="s">
        <v>17117</v>
      </c>
      <c r="F210" s="34" t="s">
        <v>16506</v>
      </c>
      <c r="G210" s="34" t="s">
        <v>17118</v>
      </c>
      <c r="H210" s="34"/>
      <c r="I210" s="35">
        <v>1</v>
      </c>
      <c r="J210" s="34" t="s">
        <v>17119</v>
      </c>
      <c r="K210" s="35"/>
      <c r="L210" s="34" t="s">
        <v>17062</v>
      </c>
      <c r="M210" s="35" t="s">
        <v>9</v>
      </c>
      <c r="N210" s="34" t="s">
        <v>17120</v>
      </c>
      <c r="O210" s="35" t="s">
        <v>164</v>
      </c>
      <c r="P210" s="35" t="s">
        <v>2155</v>
      </c>
    </row>
    <row r="211" spans="1:16" ht="13.2" customHeight="1" x14ac:dyDescent="0.25">
      <c r="A211" s="35">
        <v>209</v>
      </c>
      <c r="B211" s="34" t="s">
        <v>17121</v>
      </c>
      <c r="C211" s="35"/>
      <c r="D211" s="34" t="s">
        <v>15085</v>
      </c>
      <c r="E211" s="34" t="s">
        <v>17122</v>
      </c>
      <c r="F211" s="34" t="s">
        <v>17123</v>
      </c>
      <c r="G211" s="34" t="s">
        <v>17124</v>
      </c>
      <c r="H211" s="34" t="s">
        <v>17125</v>
      </c>
      <c r="I211" s="35">
        <v>1</v>
      </c>
      <c r="J211" s="34" t="s">
        <v>17126</v>
      </c>
      <c r="K211" s="35"/>
      <c r="L211" s="34" t="s">
        <v>17062</v>
      </c>
      <c r="M211" s="35" t="s">
        <v>9</v>
      </c>
      <c r="N211" s="34" t="s">
        <v>17127</v>
      </c>
      <c r="O211" s="35" t="s">
        <v>164</v>
      </c>
      <c r="P211" s="35" t="s">
        <v>2155</v>
      </c>
    </row>
    <row r="212" spans="1:16" ht="13.2" customHeight="1" x14ac:dyDescent="0.25">
      <c r="A212" s="35">
        <v>210</v>
      </c>
      <c r="B212" s="34" t="s">
        <v>17128</v>
      </c>
      <c r="C212" s="35"/>
      <c r="D212" s="34" t="s">
        <v>17129</v>
      </c>
      <c r="E212" s="34" t="s">
        <v>17130</v>
      </c>
      <c r="F212" s="34" t="s">
        <v>17131</v>
      </c>
      <c r="G212" s="34" t="s">
        <v>17132</v>
      </c>
      <c r="H212" s="34"/>
      <c r="I212" s="35">
        <v>1</v>
      </c>
      <c r="J212" s="34" t="s">
        <v>17133</v>
      </c>
      <c r="K212" s="35"/>
      <c r="L212" s="34" t="s">
        <v>17062</v>
      </c>
      <c r="M212" s="35" t="s">
        <v>9</v>
      </c>
      <c r="N212" s="34" t="s">
        <v>17134</v>
      </c>
      <c r="O212" s="35" t="s">
        <v>164</v>
      </c>
      <c r="P212" s="35" t="s">
        <v>2155</v>
      </c>
    </row>
    <row r="213" spans="1:16" ht="13.2" customHeight="1" x14ac:dyDescent="0.25">
      <c r="A213" s="35">
        <v>211</v>
      </c>
      <c r="B213" s="34" t="s">
        <v>17135</v>
      </c>
      <c r="C213" s="35"/>
      <c r="D213" s="34" t="s">
        <v>123</v>
      </c>
      <c r="E213" s="34" t="s">
        <v>10111</v>
      </c>
      <c r="F213" s="34" t="s">
        <v>10142</v>
      </c>
      <c r="G213" s="34" t="s">
        <v>10177</v>
      </c>
      <c r="H213" s="34" t="s">
        <v>17136</v>
      </c>
      <c r="I213" s="35">
        <v>1</v>
      </c>
      <c r="J213" s="34" t="s">
        <v>17137</v>
      </c>
      <c r="K213" s="35"/>
      <c r="L213" s="34" t="s">
        <v>17062</v>
      </c>
      <c r="M213" s="35" t="s">
        <v>9</v>
      </c>
      <c r="N213" s="34" t="s">
        <v>17138</v>
      </c>
      <c r="O213" s="35" t="s">
        <v>164</v>
      </c>
      <c r="P213" s="35" t="s">
        <v>2155</v>
      </c>
    </row>
    <row r="214" spans="1:16" ht="13.2" customHeight="1" x14ac:dyDescent="0.25">
      <c r="A214" s="35">
        <v>212</v>
      </c>
      <c r="B214" s="34" t="s">
        <v>17139</v>
      </c>
      <c r="C214" s="35"/>
      <c r="D214" s="34" t="s">
        <v>17000</v>
      </c>
      <c r="E214" s="34" t="s">
        <v>17140</v>
      </c>
      <c r="F214" s="34" t="s">
        <v>17141</v>
      </c>
      <c r="G214" s="34" t="s">
        <v>17124</v>
      </c>
      <c r="H214" s="34" t="s">
        <v>17142</v>
      </c>
      <c r="I214" s="35">
        <v>1</v>
      </c>
      <c r="J214" s="34" t="s">
        <v>17143</v>
      </c>
      <c r="K214" s="35"/>
      <c r="L214" s="34" t="s">
        <v>17062</v>
      </c>
      <c r="M214" s="35" t="s">
        <v>9</v>
      </c>
      <c r="N214" s="34" t="s">
        <v>17144</v>
      </c>
      <c r="O214" s="35" t="s">
        <v>164</v>
      </c>
      <c r="P214" s="35" t="s">
        <v>2155</v>
      </c>
    </row>
    <row r="215" spans="1:16" ht="13.2" customHeight="1" x14ac:dyDescent="0.25">
      <c r="A215" s="35">
        <v>213</v>
      </c>
      <c r="B215" s="34" t="s">
        <v>17145</v>
      </c>
      <c r="C215" s="35"/>
      <c r="D215" s="34" t="s">
        <v>17146</v>
      </c>
      <c r="E215" s="34" t="s">
        <v>17147</v>
      </c>
      <c r="F215" s="34" t="s">
        <v>17148</v>
      </c>
      <c r="G215" s="34" t="s">
        <v>17124</v>
      </c>
      <c r="H215" s="34" t="s">
        <v>17149</v>
      </c>
      <c r="I215" s="35">
        <v>1</v>
      </c>
      <c r="J215" s="34" t="s">
        <v>17150</v>
      </c>
      <c r="K215" s="35"/>
      <c r="L215" s="34" t="s">
        <v>17062</v>
      </c>
      <c r="M215" s="35" t="s">
        <v>9</v>
      </c>
      <c r="N215" s="34" t="s">
        <v>17151</v>
      </c>
      <c r="O215" s="35" t="s">
        <v>164</v>
      </c>
      <c r="P215" s="35" t="s">
        <v>2155</v>
      </c>
    </row>
    <row r="216" spans="1:16" ht="13.2" customHeight="1" x14ac:dyDescent="0.25">
      <c r="A216" s="35">
        <v>214</v>
      </c>
      <c r="B216" s="34" t="s">
        <v>17152</v>
      </c>
      <c r="C216" s="35"/>
      <c r="D216" s="34" t="s">
        <v>17153</v>
      </c>
      <c r="E216" s="34" t="s">
        <v>17154</v>
      </c>
      <c r="F216" s="34" t="s">
        <v>17155</v>
      </c>
      <c r="G216" s="34" t="s">
        <v>17156</v>
      </c>
      <c r="H216" s="34" t="s">
        <v>17157</v>
      </c>
      <c r="I216" s="35">
        <v>1</v>
      </c>
      <c r="J216" s="34" t="s">
        <v>17158</v>
      </c>
      <c r="K216" s="35"/>
      <c r="L216" s="34" t="s">
        <v>17062</v>
      </c>
      <c r="M216" s="35" t="s">
        <v>9</v>
      </c>
      <c r="N216" s="34" t="s">
        <v>17159</v>
      </c>
      <c r="O216" s="35" t="s">
        <v>164</v>
      </c>
      <c r="P216" s="35" t="s">
        <v>2155</v>
      </c>
    </row>
    <row r="217" spans="1:16" ht="409.6" x14ac:dyDescent="0.25">
      <c r="A217" s="35">
        <v>215</v>
      </c>
      <c r="B217" s="34" t="s">
        <v>17160</v>
      </c>
      <c r="C217" s="35"/>
      <c r="D217" s="34" t="s">
        <v>17161</v>
      </c>
      <c r="E217" s="34" t="s">
        <v>17162</v>
      </c>
      <c r="F217" s="34" t="s">
        <v>17163</v>
      </c>
      <c r="G217" s="34" t="s">
        <v>17164</v>
      </c>
      <c r="H217" s="34" t="s">
        <v>17165</v>
      </c>
      <c r="I217" s="35">
        <v>1</v>
      </c>
      <c r="J217" s="34" t="s">
        <v>17166</v>
      </c>
      <c r="K217" s="35"/>
      <c r="L217" s="34" t="s">
        <v>17062</v>
      </c>
      <c r="M217" s="35" t="s">
        <v>9</v>
      </c>
      <c r="N217" s="34" t="s">
        <v>17167</v>
      </c>
      <c r="O217" s="35" t="s">
        <v>164</v>
      </c>
      <c r="P217" s="35" t="s">
        <v>2155</v>
      </c>
    </row>
    <row r="218" spans="1:16" ht="409.6" x14ac:dyDescent="0.25">
      <c r="A218" s="35">
        <v>216</v>
      </c>
      <c r="B218" s="34" t="s">
        <v>17168</v>
      </c>
      <c r="C218" s="35"/>
      <c r="D218" s="34" t="s">
        <v>17169</v>
      </c>
      <c r="E218" s="34" t="s">
        <v>17170</v>
      </c>
      <c r="F218" s="34" t="s">
        <v>17171</v>
      </c>
      <c r="G218" s="34" t="s">
        <v>17172</v>
      </c>
      <c r="H218" s="34" t="s">
        <v>17173</v>
      </c>
      <c r="I218" s="35">
        <v>1</v>
      </c>
      <c r="J218" s="34" t="s">
        <v>17174</v>
      </c>
      <c r="K218" s="35"/>
      <c r="L218" s="34" t="s">
        <v>17062</v>
      </c>
      <c r="M218" s="35" t="s">
        <v>9</v>
      </c>
      <c r="N218" s="34" t="s">
        <v>17175</v>
      </c>
      <c r="O218" s="35" t="s">
        <v>164</v>
      </c>
      <c r="P218" s="35" t="s">
        <v>2155</v>
      </c>
    </row>
    <row r="219" spans="1:16" ht="409.6" x14ac:dyDescent="0.25">
      <c r="A219" s="35">
        <v>217</v>
      </c>
      <c r="B219" s="34" t="s">
        <v>17176</v>
      </c>
      <c r="C219" s="35"/>
      <c r="D219" s="34" t="s">
        <v>17177</v>
      </c>
      <c r="E219" s="34" t="s">
        <v>17178</v>
      </c>
      <c r="F219" s="34" t="s">
        <v>17179</v>
      </c>
      <c r="G219" s="34" t="s">
        <v>17180</v>
      </c>
      <c r="H219" s="34" t="s">
        <v>17181</v>
      </c>
      <c r="I219" s="35">
        <v>1</v>
      </c>
      <c r="J219" s="34" t="s">
        <v>17182</v>
      </c>
      <c r="K219" s="35"/>
      <c r="L219" s="34" t="s">
        <v>17062</v>
      </c>
      <c r="M219" s="35" t="s">
        <v>9</v>
      </c>
      <c r="N219" s="34" t="s">
        <v>17183</v>
      </c>
      <c r="O219" s="35" t="s">
        <v>164</v>
      </c>
      <c r="P219" s="35" t="s">
        <v>2155</v>
      </c>
    </row>
    <row r="220" spans="1:16" ht="409.6" x14ac:dyDescent="0.25">
      <c r="A220" s="35">
        <v>218</v>
      </c>
      <c r="B220" s="34" t="s">
        <v>17184</v>
      </c>
      <c r="C220" s="35"/>
      <c r="D220" s="34" t="s">
        <v>17083</v>
      </c>
      <c r="E220" s="34" t="s">
        <v>14022</v>
      </c>
      <c r="F220" s="34" t="s">
        <v>17185</v>
      </c>
      <c r="G220" s="34" t="s">
        <v>14023</v>
      </c>
      <c r="H220" s="34" t="s">
        <v>17186</v>
      </c>
      <c r="I220" s="35">
        <v>1</v>
      </c>
      <c r="J220" s="34" t="s">
        <v>17187</v>
      </c>
      <c r="K220" s="35"/>
      <c r="L220" s="34" t="s">
        <v>17062</v>
      </c>
      <c r="M220" s="35" t="s">
        <v>9</v>
      </c>
      <c r="N220" s="34" t="s">
        <v>17188</v>
      </c>
      <c r="O220" s="35" t="s">
        <v>164</v>
      </c>
      <c r="P220" s="35" t="s">
        <v>2155</v>
      </c>
    </row>
    <row r="221" spans="1:16" ht="409.6" x14ac:dyDescent="0.25">
      <c r="A221" s="35">
        <v>219</v>
      </c>
      <c r="B221" s="34" t="s">
        <v>17189</v>
      </c>
      <c r="C221" s="35"/>
      <c r="D221" s="34" t="s">
        <v>17190</v>
      </c>
      <c r="E221" s="34" t="s">
        <v>17191</v>
      </c>
      <c r="F221" s="34" t="s">
        <v>17192</v>
      </c>
      <c r="G221" s="34" t="s">
        <v>17193</v>
      </c>
      <c r="H221" s="34" t="s">
        <v>17194</v>
      </c>
      <c r="I221" s="35">
        <v>1</v>
      </c>
      <c r="J221" s="34" t="s">
        <v>17195</v>
      </c>
      <c r="K221" s="35"/>
      <c r="L221" s="34" t="s">
        <v>17062</v>
      </c>
      <c r="M221" s="35" t="s">
        <v>9</v>
      </c>
      <c r="N221" s="34" t="s">
        <v>17196</v>
      </c>
      <c r="O221" s="35" t="s">
        <v>164</v>
      </c>
      <c r="P221" s="35" t="s">
        <v>2155</v>
      </c>
    </row>
    <row r="222" spans="1:16" ht="409.6" x14ac:dyDescent="0.25">
      <c r="A222" s="35">
        <v>220</v>
      </c>
      <c r="B222" s="34" t="s">
        <v>17197</v>
      </c>
      <c r="C222" s="35"/>
      <c r="D222" s="34" t="s">
        <v>17198</v>
      </c>
      <c r="E222" s="34" t="s">
        <v>17117</v>
      </c>
      <c r="F222" s="34" t="s">
        <v>17116</v>
      </c>
      <c r="G222" s="34" t="s">
        <v>17199</v>
      </c>
      <c r="H222" s="34" t="s">
        <v>17200</v>
      </c>
      <c r="I222" s="35">
        <v>1</v>
      </c>
      <c r="J222" s="34" t="s">
        <v>17201</v>
      </c>
      <c r="K222" s="35"/>
      <c r="L222" s="34" t="s">
        <v>17062</v>
      </c>
      <c r="M222" s="35" t="s">
        <v>9</v>
      </c>
      <c r="N222" s="34" t="s">
        <v>17202</v>
      </c>
      <c r="O222" s="35" t="s">
        <v>164</v>
      </c>
      <c r="P222" s="35" t="s">
        <v>2155</v>
      </c>
    </row>
    <row r="223" spans="1:16" ht="409.6" x14ac:dyDescent="0.25">
      <c r="A223" s="35">
        <v>221</v>
      </c>
      <c r="B223" s="34" t="s">
        <v>17203</v>
      </c>
      <c r="C223" s="35"/>
      <c r="D223" s="34" t="s">
        <v>2983</v>
      </c>
      <c r="E223" s="34" t="s">
        <v>1458</v>
      </c>
      <c r="F223" s="34" t="s">
        <v>1454</v>
      </c>
      <c r="G223" s="34" t="s">
        <v>15559</v>
      </c>
      <c r="H223" s="34" t="s">
        <v>17204</v>
      </c>
      <c r="I223" s="35">
        <v>5</v>
      </c>
      <c r="J223" s="34" t="s">
        <v>17205</v>
      </c>
      <c r="K223" s="35"/>
      <c r="L223" s="34" t="s">
        <v>17062</v>
      </c>
      <c r="M223" s="35" t="s">
        <v>9</v>
      </c>
      <c r="N223" s="34" t="s">
        <v>17206</v>
      </c>
      <c r="O223" s="35" t="s">
        <v>164</v>
      </c>
      <c r="P223" s="35" t="s">
        <v>2155</v>
      </c>
    </row>
    <row r="224" spans="1:16" ht="409.6" x14ac:dyDescent="0.25">
      <c r="A224" s="35">
        <v>222</v>
      </c>
      <c r="B224" s="34" t="s">
        <v>17207</v>
      </c>
      <c r="C224" s="35"/>
      <c r="D224" s="34" t="s">
        <v>17208</v>
      </c>
      <c r="E224" s="34" t="s">
        <v>17209</v>
      </c>
      <c r="F224" s="34" t="s">
        <v>17210</v>
      </c>
      <c r="G224" s="34" t="s">
        <v>17211</v>
      </c>
      <c r="H224" s="34" t="s">
        <v>17212</v>
      </c>
      <c r="I224" s="35">
        <v>1</v>
      </c>
      <c r="J224" s="34" t="s">
        <v>17213</v>
      </c>
      <c r="K224" s="35"/>
      <c r="L224" s="34" t="s">
        <v>17062</v>
      </c>
      <c r="M224" s="35" t="s">
        <v>9</v>
      </c>
      <c r="N224" s="34" t="s">
        <v>17214</v>
      </c>
      <c r="O224" s="35" t="s">
        <v>164</v>
      </c>
      <c r="P224" s="35" t="s">
        <v>2155</v>
      </c>
    </row>
    <row r="225" spans="1:16" ht="409.6" x14ac:dyDescent="0.25">
      <c r="A225" s="35">
        <v>223</v>
      </c>
      <c r="B225" s="34" t="s">
        <v>17215</v>
      </c>
      <c r="C225" s="35"/>
      <c r="D225" s="34" t="s">
        <v>17216</v>
      </c>
      <c r="E225" s="34" t="s">
        <v>17217</v>
      </c>
      <c r="F225" s="34" t="s">
        <v>17218</v>
      </c>
      <c r="G225" s="34" t="s">
        <v>17219</v>
      </c>
      <c r="H225" s="34" t="s">
        <v>17220</v>
      </c>
      <c r="I225" s="35">
        <v>1</v>
      </c>
      <c r="J225" s="34" t="s">
        <v>17221</v>
      </c>
      <c r="K225" s="35"/>
      <c r="L225" s="34" t="s">
        <v>17062</v>
      </c>
      <c r="M225" s="35" t="s">
        <v>9</v>
      </c>
      <c r="N225" s="34" t="s">
        <v>17222</v>
      </c>
      <c r="O225" s="35" t="s">
        <v>164</v>
      </c>
      <c r="P225" s="35" t="s">
        <v>2155</v>
      </c>
    </row>
    <row r="226" spans="1:16" ht="409.6" x14ac:dyDescent="0.25">
      <c r="A226" s="35">
        <v>224</v>
      </c>
      <c r="B226" s="34" t="s">
        <v>17223</v>
      </c>
      <c r="C226" s="35" t="s">
        <v>17224</v>
      </c>
      <c r="D226" s="34" t="s">
        <v>17225</v>
      </c>
      <c r="E226" s="34" t="s">
        <v>17226</v>
      </c>
      <c r="F226" s="34" t="s">
        <v>17227</v>
      </c>
      <c r="G226" s="34" t="s">
        <v>17228</v>
      </c>
      <c r="H226" s="34" t="s">
        <v>17229</v>
      </c>
      <c r="I226" s="35">
        <v>1</v>
      </c>
      <c r="J226" s="34" t="s">
        <v>17230</v>
      </c>
      <c r="K226" s="35"/>
      <c r="L226" s="34" t="s">
        <v>17062</v>
      </c>
      <c r="M226" s="35" t="s">
        <v>9</v>
      </c>
      <c r="N226" s="34" t="s">
        <v>17231</v>
      </c>
      <c r="O226" s="35" t="s">
        <v>164</v>
      </c>
      <c r="P226" s="35" t="s">
        <v>2155</v>
      </c>
    </row>
    <row r="227" spans="1:16" ht="409.6" x14ac:dyDescent="0.25">
      <c r="A227" s="35">
        <v>225</v>
      </c>
      <c r="B227" s="34" t="s">
        <v>17232</v>
      </c>
      <c r="C227" s="35"/>
      <c r="D227" s="34" t="s">
        <v>3181</v>
      </c>
      <c r="E227" s="34" t="s">
        <v>17233</v>
      </c>
      <c r="F227" s="34" t="s">
        <v>3523</v>
      </c>
      <c r="G227" s="34" t="s">
        <v>3524</v>
      </c>
      <c r="H227" s="34" t="s">
        <v>17234</v>
      </c>
      <c r="I227" s="35">
        <v>1</v>
      </c>
      <c r="J227" s="34" t="s">
        <v>17235</v>
      </c>
      <c r="K227" s="35"/>
      <c r="L227" s="34" t="s">
        <v>17062</v>
      </c>
      <c r="M227" s="35" t="s">
        <v>9</v>
      </c>
      <c r="N227" s="34" t="s">
        <v>17236</v>
      </c>
      <c r="O227" s="35" t="s">
        <v>164</v>
      </c>
      <c r="P227" s="35" t="s">
        <v>2155</v>
      </c>
    </row>
    <row r="228" spans="1:16" ht="409.6" x14ac:dyDescent="0.25">
      <c r="A228" s="35">
        <v>226</v>
      </c>
      <c r="B228" s="34" t="s">
        <v>17237</v>
      </c>
      <c r="C228" s="35"/>
      <c r="D228" s="34" t="s">
        <v>17190</v>
      </c>
      <c r="E228" s="34" t="s">
        <v>17238</v>
      </c>
      <c r="F228" s="34" t="s">
        <v>17239</v>
      </c>
      <c r="G228" s="34" t="s">
        <v>17240</v>
      </c>
      <c r="H228" s="34" t="s">
        <v>17241</v>
      </c>
      <c r="I228" s="35">
        <v>1</v>
      </c>
      <c r="J228" s="34" t="s">
        <v>17242</v>
      </c>
      <c r="K228" s="35"/>
      <c r="L228" s="34" t="s">
        <v>17062</v>
      </c>
      <c r="M228" s="35" t="s">
        <v>9</v>
      </c>
      <c r="N228" s="34" t="s">
        <v>17243</v>
      </c>
      <c r="O228" s="35" t="s">
        <v>164</v>
      </c>
      <c r="P228" s="35" t="s">
        <v>3354</v>
      </c>
    </row>
    <row r="229" spans="1:16" ht="409.6" x14ac:dyDescent="0.25">
      <c r="A229" s="35">
        <v>227</v>
      </c>
      <c r="B229" s="34" t="s">
        <v>17244</v>
      </c>
      <c r="C229" s="35"/>
      <c r="D229" s="34" t="s">
        <v>16365</v>
      </c>
      <c r="E229" s="34" t="s">
        <v>6729</v>
      </c>
      <c r="F229" s="34" t="s">
        <v>17245</v>
      </c>
      <c r="G229" s="34" t="s">
        <v>17246</v>
      </c>
      <c r="H229" s="34" t="s">
        <v>17247</v>
      </c>
      <c r="I229" s="35">
        <v>5</v>
      </c>
      <c r="J229" s="34" t="s">
        <v>17248</v>
      </c>
      <c r="K229" s="35"/>
      <c r="L229" s="34" t="s">
        <v>17062</v>
      </c>
      <c r="M229" s="35" t="s">
        <v>9</v>
      </c>
      <c r="N229" s="34" t="s">
        <v>17249</v>
      </c>
      <c r="O229" s="35" t="s">
        <v>164</v>
      </c>
      <c r="P229" s="35" t="s">
        <v>3354</v>
      </c>
    </row>
    <row r="230" spans="1:16" ht="409.6" x14ac:dyDescent="0.25">
      <c r="A230" s="35">
        <v>228</v>
      </c>
      <c r="B230" s="34" t="s">
        <v>17250</v>
      </c>
      <c r="C230" s="35"/>
      <c r="D230" s="34" t="s">
        <v>14022</v>
      </c>
      <c r="E230" s="34" t="s">
        <v>17185</v>
      </c>
      <c r="F230" s="34" t="s">
        <v>17083</v>
      </c>
      <c r="G230" s="34" t="s">
        <v>14023</v>
      </c>
      <c r="H230" s="34" t="s">
        <v>17251</v>
      </c>
      <c r="I230" s="35">
        <v>3</v>
      </c>
      <c r="J230" s="34" t="s">
        <v>17252</v>
      </c>
      <c r="K230" s="35"/>
      <c r="L230" s="34" t="s">
        <v>17062</v>
      </c>
      <c r="M230" s="35" t="s">
        <v>9</v>
      </c>
      <c r="N230" s="34" t="s">
        <v>17253</v>
      </c>
      <c r="O230" s="35" t="s">
        <v>164</v>
      </c>
      <c r="P230" s="35" t="s">
        <v>3354</v>
      </c>
    </row>
    <row r="231" spans="1:16" ht="409.6" x14ac:dyDescent="0.25">
      <c r="A231" s="35">
        <v>229</v>
      </c>
      <c r="B231" s="34" t="s">
        <v>17254</v>
      </c>
      <c r="C231" s="35"/>
      <c r="D231" s="34" t="s">
        <v>17255</v>
      </c>
      <c r="E231" s="34" t="s">
        <v>17256</v>
      </c>
      <c r="F231" s="34" t="s">
        <v>17257</v>
      </c>
      <c r="G231" s="34" t="s">
        <v>17258</v>
      </c>
      <c r="H231" s="34" t="s">
        <v>17259</v>
      </c>
      <c r="I231" s="35">
        <v>1</v>
      </c>
      <c r="J231" s="34" t="s">
        <v>17260</v>
      </c>
      <c r="K231" s="35"/>
      <c r="L231" s="34" t="s">
        <v>17062</v>
      </c>
      <c r="M231" s="35" t="s">
        <v>9</v>
      </c>
      <c r="N231" s="34" t="s">
        <v>17261</v>
      </c>
      <c r="O231" s="35" t="s">
        <v>164</v>
      </c>
      <c r="P231" s="35" t="s">
        <v>3354</v>
      </c>
    </row>
    <row r="232" spans="1:16" ht="409.6" x14ac:dyDescent="0.25">
      <c r="A232" s="35">
        <v>230</v>
      </c>
      <c r="B232" s="34" t="s">
        <v>17262</v>
      </c>
      <c r="C232" s="35"/>
      <c r="D232" s="34" t="s">
        <v>17263</v>
      </c>
      <c r="E232" s="34" t="s">
        <v>17264</v>
      </c>
      <c r="F232" s="34" t="s">
        <v>17265</v>
      </c>
      <c r="G232" s="34" t="s">
        <v>17266</v>
      </c>
      <c r="H232" s="34" t="s">
        <v>17267</v>
      </c>
      <c r="I232" s="35">
        <v>3</v>
      </c>
      <c r="J232" s="34" t="s">
        <v>17268</v>
      </c>
      <c r="K232" s="35"/>
      <c r="L232" s="34" t="s">
        <v>17062</v>
      </c>
      <c r="M232" s="35" t="s">
        <v>9</v>
      </c>
      <c r="N232" s="34" t="s">
        <v>17269</v>
      </c>
      <c r="O232" s="35" t="s">
        <v>164</v>
      </c>
      <c r="P232" s="35" t="s">
        <v>3354</v>
      </c>
    </row>
    <row r="233" spans="1:16" ht="409.6" x14ac:dyDescent="0.25">
      <c r="A233" s="35">
        <v>231</v>
      </c>
      <c r="B233" s="34" t="s">
        <v>17270</v>
      </c>
      <c r="C233" s="35"/>
      <c r="D233" s="34" t="s">
        <v>17271</v>
      </c>
      <c r="E233" s="34" t="s">
        <v>15696</v>
      </c>
      <c r="F233" s="34" t="s">
        <v>17272</v>
      </c>
      <c r="G233" s="34" t="s">
        <v>16922</v>
      </c>
      <c r="H233" s="34" t="s">
        <v>17273</v>
      </c>
      <c r="I233" s="35">
        <v>2</v>
      </c>
      <c r="J233" s="34" t="s">
        <v>17274</v>
      </c>
      <c r="K233" s="35"/>
      <c r="L233" s="34" t="s">
        <v>17062</v>
      </c>
      <c r="M233" s="35" t="s">
        <v>9</v>
      </c>
      <c r="N233" s="34" t="s">
        <v>17275</v>
      </c>
      <c r="O233" s="35" t="s">
        <v>164</v>
      </c>
      <c r="P233" s="35" t="s">
        <v>3354</v>
      </c>
    </row>
    <row r="234" spans="1:16" ht="409.6" x14ac:dyDescent="0.25">
      <c r="A234" s="35">
        <v>232</v>
      </c>
      <c r="B234" s="34" t="s">
        <v>17276</v>
      </c>
      <c r="C234" s="35"/>
      <c r="D234" s="34" t="s">
        <v>16365</v>
      </c>
      <c r="E234" s="34" t="s">
        <v>6729</v>
      </c>
      <c r="F234" s="34" t="s">
        <v>17245</v>
      </c>
      <c r="G234" s="34" t="s">
        <v>17246</v>
      </c>
      <c r="H234" s="34" t="s">
        <v>17277</v>
      </c>
      <c r="I234" s="35">
        <v>1</v>
      </c>
      <c r="J234" s="34" t="s">
        <v>17278</v>
      </c>
      <c r="K234" s="35"/>
      <c r="L234" s="34" t="s">
        <v>17062</v>
      </c>
      <c r="M234" s="35" t="s">
        <v>9</v>
      </c>
      <c r="N234" s="34" t="s">
        <v>17279</v>
      </c>
      <c r="O234" s="35" t="s">
        <v>164</v>
      </c>
      <c r="P234" s="35" t="s">
        <v>3354</v>
      </c>
    </row>
    <row r="235" spans="1:16" ht="409.6" x14ac:dyDescent="0.25">
      <c r="A235" s="35">
        <v>233</v>
      </c>
      <c r="B235" s="34" t="s">
        <v>17280</v>
      </c>
      <c r="C235" s="35"/>
      <c r="D235" s="34" t="s">
        <v>17281</v>
      </c>
      <c r="E235" s="34" t="s">
        <v>17282</v>
      </c>
      <c r="F235" s="34" t="s">
        <v>16142</v>
      </c>
      <c r="G235" s="34" t="s">
        <v>15625</v>
      </c>
      <c r="H235" s="34" t="s">
        <v>17283</v>
      </c>
      <c r="I235" s="35">
        <v>5</v>
      </c>
      <c r="J235" s="34" t="s">
        <v>17284</v>
      </c>
      <c r="K235" s="35"/>
      <c r="L235" s="34" t="s">
        <v>17062</v>
      </c>
      <c r="M235" s="35" t="s">
        <v>9</v>
      </c>
      <c r="N235" s="34" t="s">
        <v>17285</v>
      </c>
      <c r="O235" s="35" t="s">
        <v>164</v>
      </c>
      <c r="P235" s="35" t="s">
        <v>3354</v>
      </c>
    </row>
    <row r="236" spans="1:16" ht="409.6" x14ac:dyDescent="0.25">
      <c r="A236" s="35">
        <v>234</v>
      </c>
      <c r="B236" s="34" t="s">
        <v>17286</v>
      </c>
      <c r="C236" s="35"/>
      <c r="D236" s="34" t="s">
        <v>15739</v>
      </c>
      <c r="E236" s="34" t="s">
        <v>17287</v>
      </c>
      <c r="F236" s="34" t="s">
        <v>2211</v>
      </c>
      <c r="G236" s="34" t="s">
        <v>2210</v>
      </c>
      <c r="H236" s="34" t="s">
        <v>17288</v>
      </c>
      <c r="I236" s="35">
        <v>1</v>
      </c>
      <c r="J236" s="34" t="s">
        <v>17289</v>
      </c>
      <c r="K236" s="35"/>
      <c r="L236" s="34" t="s">
        <v>17062</v>
      </c>
      <c r="M236" s="35" t="s">
        <v>9</v>
      </c>
      <c r="N236" s="34" t="s">
        <v>17290</v>
      </c>
      <c r="O236" s="35" t="s">
        <v>164</v>
      </c>
      <c r="P236" s="35" t="s">
        <v>2206</v>
      </c>
    </row>
    <row r="237" spans="1:16" ht="409.6" x14ac:dyDescent="0.25">
      <c r="A237" s="35">
        <v>235</v>
      </c>
      <c r="B237" s="34" t="s">
        <v>17291</v>
      </c>
      <c r="C237" s="35"/>
      <c r="D237" s="34" t="s">
        <v>17292</v>
      </c>
      <c r="E237" s="34" t="s">
        <v>17293</v>
      </c>
      <c r="F237" s="34" t="s">
        <v>17294</v>
      </c>
      <c r="G237" s="34" t="s">
        <v>17295</v>
      </c>
      <c r="H237" s="34" t="s">
        <v>17296</v>
      </c>
      <c r="I237" s="35">
        <v>1</v>
      </c>
      <c r="J237" s="34" t="s">
        <v>17297</v>
      </c>
      <c r="K237" s="35"/>
      <c r="L237" s="34" t="s">
        <v>17062</v>
      </c>
      <c r="M237" s="35" t="s">
        <v>9</v>
      </c>
      <c r="N237" s="34" t="s">
        <v>17290</v>
      </c>
      <c r="O237" s="35" t="s">
        <v>164</v>
      </c>
      <c r="P237" s="35" t="s">
        <v>2206</v>
      </c>
    </row>
    <row r="238" spans="1:16" ht="409.6" x14ac:dyDescent="0.25">
      <c r="A238" s="35">
        <v>236</v>
      </c>
      <c r="B238" s="34" t="s">
        <v>17298</v>
      </c>
      <c r="C238" s="35"/>
      <c r="D238" s="34" t="s">
        <v>17299</v>
      </c>
      <c r="E238" s="34" t="s">
        <v>17117</v>
      </c>
      <c r="F238" s="34" t="s">
        <v>17116</v>
      </c>
      <c r="G238" s="34" t="s">
        <v>17199</v>
      </c>
      <c r="H238" s="34" t="s">
        <v>17300</v>
      </c>
      <c r="I238" s="35">
        <v>1</v>
      </c>
      <c r="J238" s="34" t="s">
        <v>17301</v>
      </c>
      <c r="K238" s="35"/>
      <c r="L238" s="34" t="s">
        <v>17062</v>
      </c>
      <c r="M238" s="35" t="s">
        <v>9</v>
      </c>
      <c r="N238" s="34" t="s">
        <v>17302</v>
      </c>
      <c r="O238" s="35" t="s">
        <v>164</v>
      </c>
      <c r="P238" s="35" t="s">
        <v>2271</v>
      </c>
    </row>
    <row r="239" spans="1:16" ht="409.6" x14ac:dyDescent="0.25">
      <c r="A239" s="35">
        <v>237</v>
      </c>
      <c r="B239" s="34" t="s">
        <v>17303</v>
      </c>
      <c r="C239" s="35"/>
      <c r="D239" s="34" t="s">
        <v>15739</v>
      </c>
      <c r="E239" s="34" t="s">
        <v>17282</v>
      </c>
      <c r="F239" s="34" t="s">
        <v>17304</v>
      </c>
      <c r="G239" s="34" t="s">
        <v>15625</v>
      </c>
      <c r="H239" s="34" t="s">
        <v>17305</v>
      </c>
      <c r="I239" s="35">
        <v>1</v>
      </c>
      <c r="J239" s="34" t="s">
        <v>17306</v>
      </c>
      <c r="K239" s="35"/>
      <c r="L239" s="34" t="s">
        <v>17062</v>
      </c>
      <c r="M239" s="35" t="s">
        <v>9</v>
      </c>
      <c r="N239" s="34" t="s">
        <v>17307</v>
      </c>
      <c r="O239" s="35" t="s">
        <v>164</v>
      </c>
      <c r="P239" s="35" t="s">
        <v>2271</v>
      </c>
    </row>
    <row r="240" spans="1:16" ht="409.6" x14ac:dyDescent="0.25">
      <c r="A240" s="35">
        <v>238</v>
      </c>
      <c r="B240" s="34" t="s">
        <v>17308</v>
      </c>
      <c r="C240" s="35" t="s">
        <v>17309</v>
      </c>
      <c r="D240" s="34" t="s">
        <v>17310</v>
      </c>
      <c r="E240" s="34" t="s">
        <v>17311</v>
      </c>
      <c r="F240" s="34" t="s">
        <v>17312</v>
      </c>
      <c r="G240" s="34" t="s">
        <v>17313</v>
      </c>
      <c r="H240" s="34" t="s">
        <v>17311</v>
      </c>
      <c r="I240" s="35">
        <v>1</v>
      </c>
      <c r="J240" s="34" t="s">
        <v>17314</v>
      </c>
      <c r="K240" s="35"/>
      <c r="L240" s="34" t="s">
        <v>17062</v>
      </c>
      <c r="M240" s="35" t="s">
        <v>9</v>
      </c>
      <c r="N240" s="34" t="s">
        <v>17315</v>
      </c>
      <c r="O240" s="35" t="s">
        <v>164</v>
      </c>
      <c r="P240" s="35" t="s">
        <v>2271</v>
      </c>
    </row>
    <row r="241" spans="1:16" ht="409.6" x14ac:dyDescent="0.25">
      <c r="A241" s="35">
        <v>239</v>
      </c>
      <c r="B241" s="34" t="s">
        <v>17316</v>
      </c>
      <c r="C241" s="35"/>
      <c r="D241" s="34" t="s">
        <v>15648</v>
      </c>
      <c r="E241" s="34" t="s">
        <v>15650</v>
      </c>
      <c r="F241" s="34" t="s">
        <v>17317</v>
      </c>
      <c r="G241" s="34" t="s">
        <v>17318</v>
      </c>
      <c r="H241" s="34" t="s">
        <v>17319</v>
      </c>
      <c r="I241" s="35">
        <v>1</v>
      </c>
      <c r="J241" s="34" t="s">
        <v>17320</v>
      </c>
      <c r="K241" s="35"/>
      <c r="L241" s="34" t="s">
        <v>17062</v>
      </c>
      <c r="M241" s="35" t="s">
        <v>9</v>
      </c>
      <c r="N241" s="34" t="s">
        <v>17321</v>
      </c>
      <c r="O241" s="35" t="s">
        <v>164</v>
      </c>
      <c r="P241" s="35" t="s">
        <v>2271</v>
      </c>
    </row>
    <row r="242" spans="1:16" ht="409.6" x14ac:dyDescent="0.25">
      <c r="A242" s="35">
        <v>240</v>
      </c>
      <c r="B242" s="34" t="s">
        <v>17322</v>
      </c>
      <c r="C242" s="35"/>
      <c r="D242" s="34" t="s">
        <v>9826</v>
      </c>
      <c r="E242" s="34" t="s">
        <v>16141</v>
      </c>
      <c r="F242" s="34" t="s">
        <v>17323</v>
      </c>
      <c r="G242" s="34" t="s">
        <v>9825</v>
      </c>
      <c r="H242" s="34" t="s">
        <v>16337</v>
      </c>
      <c r="I242" s="35">
        <v>1</v>
      </c>
      <c r="J242" s="34" t="s">
        <v>17324</v>
      </c>
      <c r="K242" s="35"/>
      <c r="L242" s="34" t="s">
        <v>17062</v>
      </c>
      <c r="M242" s="35" t="s">
        <v>9</v>
      </c>
      <c r="N242" s="34" t="s">
        <v>17325</v>
      </c>
      <c r="O242" s="35" t="s">
        <v>164</v>
      </c>
      <c r="P242" s="35" t="s">
        <v>2271</v>
      </c>
    </row>
    <row r="243" spans="1:16" ht="409.6" x14ac:dyDescent="0.25">
      <c r="A243" s="35">
        <v>241</v>
      </c>
      <c r="B243" s="34" t="s">
        <v>17326</v>
      </c>
      <c r="C243" s="35"/>
      <c r="D243" s="34" t="s">
        <v>3299</v>
      </c>
      <c r="E243" s="34" t="s">
        <v>9826</v>
      </c>
      <c r="F243" s="34" t="s">
        <v>16141</v>
      </c>
      <c r="G243" s="34" t="s">
        <v>16142</v>
      </c>
      <c r="H243" s="34" t="s">
        <v>16543</v>
      </c>
      <c r="I243" s="35">
        <v>1</v>
      </c>
      <c r="J243" s="34" t="s">
        <v>17327</v>
      </c>
      <c r="K243" s="35"/>
      <c r="L243" s="34" t="s">
        <v>17062</v>
      </c>
      <c r="M243" s="35" t="s">
        <v>9</v>
      </c>
      <c r="N243" s="34" t="s">
        <v>17328</v>
      </c>
      <c r="O243" s="35" t="s">
        <v>164</v>
      </c>
      <c r="P243" s="35" t="s">
        <v>2271</v>
      </c>
    </row>
    <row r="244" spans="1:16" ht="409.6" x14ac:dyDescent="0.25">
      <c r="A244" s="35">
        <v>242</v>
      </c>
      <c r="B244" s="34" t="s">
        <v>17329</v>
      </c>
      <c r="C244" s="35"/>
      <c r="D244" s="34" t="s">
        <v>14022</v>
      </c>
      <c r="E244" s="34" t="s">
        <v>17083</v>
      </c>
      <c r="F244" s="34" t="s">
        <v>11123</v>
      </c>
      <c r="G244" s="34" t="s">
        <v>14023</v>
      </c>
      <c r="H244" s="34" t="s">
        <v>17330</v>
      </c>
      <c r="I244" s="35">
        <v>1</v>
      </c>
      <c r="J244" s="34" t="s">
        <v>17331</v>
      </c>
      <c r="K244" s="35"/>
      <c r="L244" s="34" t="s">
        <v>17062</v>
      </c>
      <c r="M244" s="35" t="s">
        <v>9</v>
      </c>
      <c r="N244" s="34" t="s">
        <v>17332</v>
      </c>
      <c r="O244" s="35" t="s">
        <v>164</v>
      </c>
      <c r="P244" s="35" t="s">
        <v>2271</v>
      </c>
    </row>
    <row r="245" spans="1:16" ht="409.6" x14ac:dyDescent="0.25">
      <c r="A245" s="35">
        <v>243</v>
      </c>
      <c r="B245" s="34" t="s">
        <v>17333</v>
      </c>
      <c r="C245" s="35"/>
      <c r="D245" s="34" t="s">
        <v>17117</v>
      </c>
      <c r="E245" s="34" t="s">
        <v>11124</v>
      </c>
      <c r="F245" s="34" t="s">
        <v>17334</v>
      </c>
      <c r="G245" s="34" t="s">
        <v>13718</v>
      </c>
      <c r="H245" s="34" t="s">
        <v>17335</v>
      </c>
      <c r="I245" s="35">
        <v>1</v>
      </c>
      <c r="J245" s="34" t="s">
        <v>17336</v>
      </c>
      <c r="K245" s="35"/>
      <c r="L245" s="34" t="s">
        <v>17062</v>
      </c>
      <c r="M245" s="35" t="s">
        <v>9</v>
      </c>
      <c r="N245" s="34" t="s">
        <v>17337</v>
      </c>
      <c r="O245" s="35" t="s">
        <v>164</v>
      </c>
      <c r="P245" s="35" t="s">
        <v>2271</v>
      </c>
    </row>
    <row r="246" spans="1:16" ht="409.6" x14ac:dyDescent="0.25">
      <c r="A246" s="35">
        <v>244</v>
      </c>
      <c r="B246" s="34" t="s">
        <v>17338</v>
      </c>
      <c r="C246" s="35"/>
      <c r="D246" s="34" t="s">
        <v>11123</v>
      </c>
      <c r="E246" s="34" t="s">
        <v>17339</v>
      </c>
      <c r="F246" s="34" t="s">
        <v>17117</v>
      </c>
      <c r="G246" s="34" t="s">
        <v>1906</v>
      </c>
      <c r="H246" s="34" t="s">
        <v>11125</v>
      </c>
      <c r="I246" s="35">
        <v>1</v>
      </c>
      <c r="J246" s="34" t="s">
        <v>17340</v>
      </c>
      <c r="K246" s="35"/>
      <c r="L246" s="34" t="s">
        <v>17062</v>
      </c>
      <c r="M246" s="35" t="s">
        <v>9</v>
      </c>
      <c r="N246" s="34" t="s">
        <v>17341</v>
      </c>
      <c r="O246" s="35" t="s">
        <v>164</v>
      </c>
      <c r="P246" s="35" t="s">
        <v>2271</v>
      </c>
    </row>
    <row r="247" spans="1:16" ht="409.6" x14ac:dyDescent="0.25">
      <c r="A247" s="35">
        <v>245</v>
      </c>
      <c r="B247" s="34" t="s">
        <v>17342</v>
      </c>
      <c r="C247" s="35"/>
      <c r="D247" s="34" t="s">
        <v>16141</v>
      </c>
      <c r="E247" s="34" t="s">
        <v>17343</v>
      </c>
      <c r="F247" s="34" t="s">
        <v>17344</v>
      </c>
      <c r="G247" s="34" t="s">
        <v>542</v>
      </c>
      <c r="H247" s="34" t="s">
        <v>16142</v>
      </c>
      <c r="I247" s="35">
        <v>1</v>
      </c>
      <c r="J247" s="34" t="s">
        <v>17345</v>
      </c>
      <c r="K247" s="35"/>
      <c r="L247" s="34" t="s">
        <v>17062</v>
      </c>
      <c r="M247" s="35" t="s">
        <v>9</v>
      </c>
      <c r="N247" s="34" t="s">
        <v>17346</v>
      </c>
      <c r="O247" s="35" t="s">
        <v>164</v>
      </c>
      <c r="P247" s="35" t="s">
        <v>2271</v>
      </c>
    </row>
    <row r="248" spans="1:16" ht="409.6" x14ac:dyDescent="0.25">
      <c r="A248" s="35">
        <v>246</v>
      </c>
      <c r="B248" s="34" t="s">
        <v>17347</v>
      </c>
      <c r="C248" s="35"/>
      <c r="D248" s="34" t="s">
        <v>11070</v>
      </c>
      <c r="E248" s="34" t="s">
        <v>17046</v>
      </c>
      <c r="F248" s="34" t="s">
        <v>17048</v>
      </c>
      <c r="G248" s="34" t="s">
        <v>542</v>
      </c>
      <c r="H248" s="34" t="s">
        <v>2254</v>
      </c>
      <c r="I248" s="35">
        <v>1</v>
      </c>
      <c r="J248" s="34" t="s">
        <v>17348</v>
      </c>
      <c r="K248" s="35"/>
      <c r="L248" s="34" t="s">
        <v>17062</v>
      </c>
      <c r="M248" s="35" t="s">
        <v>9</v>
      </c>
      <c r="N248" s="34" t="s">
        <v>17349</v>
      </c>
      <c r="O248" s="35" t="s">
        <v>164</v>
      </c>
      <c r="P248" s="35" t="s">
        <v>2271</v>
      </c>
    </row>
    <row r="249" spans="1:16" ht="409.6" x14ac:dyDescent="0.25">
      <c r="A249" s="35">
        <v>247</v>
      </c>
      <c r="B249" s="34" t="s">
        <v>17350</v>
      </c>
      <c r="C249" s="35"/>
      <c r="D249" s="34" t="s">
        <v>17351</v>
      </c>
      <c r="E249" s="34" t="s">
        <v>17352</v>
      </c>
      <c r="F249" s="34" t="s">
        <v>17353</v>
      </c>
      <c r="G249" s="34" t="s">
        <v>17354</v>
      </c>
      <c r="H249" s="34" t="s">
        <v>17355</v>
      </c>
      <c r="I249" s="35">
        <v>1</v>
      </c>
      <c r="J249" s="34" t="s">
        <v>17356</v>
      </c>
      <c r="K249" s="35"/>
      <c r="L249" s="34" t="s">
        <v>17062</v>
      </c>
      <c r="M249" s="35" t="s">
        <v>9</v>
      </c>
      <c r="N249" s="34" t="s">
        <v>17357</v>
      </c>
      <c r="O249" s="35" t="s">
        <v>164</v>
      </c>
      <c r="P249" s="35" t="s">
        <v>2271</v>
      </c>
    </row>
    <row r="250" spans="1:16" ht="409.6" x14ac:dyDescent="0.25">
      <c r="A250" s="35">
        <v>248</v>
      </c>
      <c r="B250" s="34" t="s">
        <v>17358</v>
      </c>
      <c r="C250" s="35"/>
      <c r="D250" s="34" t="s">
        <v>17359</v>
      </c>
      <c r="E250" s="34" t="s">
        <v>15649</v>
      </c>
      <c r="F250" s="34" t="s">
        <v>15648</v>
      </c>
      <c r="G250" s="34" t="s">
        <v>15650</v>
      </c>
      <c r="H250" s="34" t="s">
        <v>17360</v>
      </c>
      <c r="I250" s="35">
        <v>1</v>
      </c>
      <c r="J250" s="34" t="s">
        <v>17361</v>
      </c>
      <c r="K250" s="35"/>
      <c r="L250" s="34" t="s">
        <v>17062</v>
      </c>
      <c r="M250" s="35" t="s">
        <v>9</v>
      </c>
      <c r="N250" s="34" t="s">
        <v>17362</v>
      </c>
      <c r="O250" s="35" t="s">
        <v>164</v>
      </c>
      <c r="P250" s="35" t="s">
        <v>2271</v>
      </c>
    </row>
    <row r="251" spans="1:16" ht="409.6" x14ac:dyDescent="0.25">
      <c r="A251" s="35">
        <v>249</v>
      </c>
      <c r="B251" s="34" t="s">
        <v>17363</v>
      </c>
      <c r="C251" s="35"/>
      <c r="D251" s="34" t="s">
        <v>17364</v>
      </c>
      <c r="E251" s="34" t="s">
        <v>17365</v>
      </c>
      <c r="F251" s="34" t="s">
        <v>17366</v>
      </c>
      <c r="G251" s="34" t="s">
        <v>17367</v>
      </c>
      <c r="H251" s="34" t="s">
        <v>17368</v>
      </c>
      <c r="I251" s="35">
        <v>1</v>
      </c>
      <c r="J251" s="34" t="s">
        <v>17369</v>
      </c>
      <c r="K251" s="35"/>
      <c r="L251" s="34" t="s">
        <v>17062</v>
      </c>
      <c r="M251" s="35" t="s">
        <v>9</v>
      </c>
      <c r="N251" s="34" t="s">
        <v>17370</v>
      </c>
      <c r="O251" s="35" t="s">
        <v>164</v>
      </c>
      <c r="P251" s="35" t="s">
        <v>2271</v>
      </c>
    </row>
    <row r="252" spans="1:16" ht="409.6" x14ac:dyDescent="0.25">
      <c r="A252" s="35">
        <v>250</v>
      </c>
      <c r="B252" s="34" t="s">
        <v>17371</v>
      </c>
      <c r="C252" s="35"/>
      <c r="D252" s="34" t="s">
        <v>16459</v>
      </c>
      <c r="E252" s="34" t="s">
        <v>15648</v>
      </c>
      <c r="F252" s="34" t="s">
        <v>15649</v>
      </c>
      <c r="G252" s="34" t="s">
        <v>17372</v>
      </c>
      <c r="H252" s="34" t="s">
        <v>15650</v>
      </c>
      <c r="I252" s="35">
        <v>1</v>
      </c>
      <c r="J252" s="34" t="s">
        <v>17373</v>
      </c>
      <c r="K252" s="35"/>
      <c r="L252" s="34" t="s">
        <v>17062</v>
      </c>
      <c r="M252" s="35" t="s">
        <v>9</v>
      </c>
      <c r="N252" s="34" t="s">
        <v>17374</v>
      </c>
      <c r="O252" s="35" t="s">
        <v>164</v>
      </c>
      <c r="P252" s="35" t="s">
        <v>2271</v>
      </c>
    </row>
    <row r="253" spans="1:16" ht="409.6" x14ac:dyDescent="0.25">
      <c r="A253" s="35">
        <v>251</v>
      </c>
      <c r="B253" s="34" t="s">
        <v>17375</v>
      </c>
      <c r="C253" s="35" t="s">
        <v>17376</v>
      </c>
      <c r="D253" s="34" t="s">
        <v>16106</v>
      </c>
      <c r="E253" s="34" t="s">
        <v>16380</v>
      </c>
      <c r="F253" s="34" t="s">
        <v>17377</v>
      </c>
      <c r="G253" s="34" t="s">
        <v>17378</v>
      </c>
      <c r="H253" s="34" t="s">
        <v>17379</v>
      </c>
      <c r="I253" s="35">
        <v>1</v>
      </c>
      <c r="J253" s="34" t="s">
        <v>17380</v>
      </c>
      <c r="K253" s="35"/>
      <c r="L253" s="34" t="s">
        <v>17062</v>
      </c>
      <c r="M253" s="35" t="s">
        <v>9</v>
      </c>
      <c r="N253" s="34" t="s">
        <v>17381</v>
      </c>
      <c r="O253" s="35" t="s">
        <v>164</v>
      </c>
      <c r="P253" s="35" t="s">
        <v>2271</v>
      </c>
    </row>
    <row r="254" spans="1:16" ht="409.6" x14ac:dyDescent="0.25">
      <c r="A254" s="35">
        <v>252</v>
      </c>
      <c r="B254" s="34" t="s">
        <v>17382</v>
      </c>
      <c r="C254" s="35" t="s">
        <v>17383</v>
      </c>
      <c r="D254" s="34" t="s">
        <v>17384</v>
      </c>
      <c r="E254" s="34" t="s">
        <v>17385</v>
      </c>
      <c r="F254" s="34" t="s">
        <v>16141</v>
      </c>
      <c r="G254" s="34" t="s">
        <v>16142</v>
      </c>
      <c r="H254" s="34" t="s">
        <v>17386</v>
      </c>
      <c r="I254" s="35">
        <v>1</v>
      </c>
      <c r="J254" s="34" t="s">
        <v>17387</v>
      </c>
      <c r="K254" s="35"/>
      <c r="L254" s="34" t="s">
        <v>17062</v>
      </c>
      <c r="M254" s="35" t="s">
        <v>9</v>
      </c>
      <c r="N254" s="34" t="s">
        <v>17388</v>
      </c>
      <c r="O254" s="35" t="s">
        <v>164</v>
      </c>
      <c r="P254" s="35" t="s">
        <v>2271</v>
      </c>
    </row>
    <row r="255" spans="1:16" ht="409.6" x14ac:dyDescent="0.25">
      <c r="A255" s="35">
        <v>253</v>
      </c>
      <c r="B255" s="34" t="s">
        <v>17389</v>
      </c>
      <c r="C255" s="35"/>
      <c r="D255" s="34" t="s">
        <v>15109</v>
      </c>
      <c r="E255" s="34" t="s">
        <v>17390</v>
      </c>
      <c r="F255" s="34" t="s">
        <v>16142</v>
      </c>
      <c r="G255" s="34" t="s">
        <v>17386</v>
      </c>
      <c r="H255" s="34" t="s">
        <v>17391</v>
      </c>
      <c r="I255" s="35">
        <v>1</v>
      </c>
      <c r="J255" s="34" t="s">
        <v>17392</v>
      </c>
      <c r="K255" s="35"/>
      <c r="L255" s="34" t="s">
        <v>17062</v>
      </c>
      <c r="M255" s="35" t="s">
        <v>9</v>
      </c>
      <c r="N255" s="34" t="s">
        <v>17393</v>
      </c>
      <c r="O255" s="35" t="s">
        <v>164</v>
      </c>
      <c r="P255" s="35" t="s">
        <v>2271</v>
      </c>
    </row>
    <row r="256" spans="1:16" ht="409.6" x14ac:dyDescent="0.25">
      <c r="A256" s="35">
        <v>254</v>
      </c>
      <c r="B256" s="34" t="s">
        <v>17394</v>
      </c>
      <c r="C256" s="35"/>
      <c r="D256" s="34" t="s">
        <v>17395</v>
      </c>
      <c r="E256" s="34" t="s">
        <v>17396</v>
      </c>
      <c r="F256" s="34" t="s">
        <v>17397</v>
      </c>
      <c r="G256" s="34" t="s">
        <v>16142</v>
      </c>
      <c r="H256" s="34" t="s">
        <v>17398</v>
      </c>
      <c r="I256" s="35">
        <v>1</v>
      </c>
      <c r="J256" s="34" t="s">
        <v>17399</v>
      </c>
      <c r="K256" s="35"/>
      <c r="L256" s="34" t="s">
        <v>17062</v>
      </c>
      <c r="M256" s="35" t="s">
        <v>9</v>
      </c>
      <c r="N256" s="34" t="s">
        <v>17400</v>
      </c>
      <c r="O256" s="35" t="s">
        <v>164</v>
      </c>
      <c r="P256" s="35" t="s">
        <v>2271</v>
      </c>
    </row>
    <row r="257" spans="1:16" ht="409.6" x14ac:dyDescent="0.25">
      <c r="A257" s="35">
        <v>255</v>
      </c>
      <c r="B257" s="34" t="s">
        <v>17401</v>
      </c>
      <c r="C257" s="35"/>
      <c r="D257" s="34" t="s">
        <v>14070</v>
      </c>
      <c r="E257" s="34" t="s">
        <v>9826</v>
      </c>
      <c r="F257" s="34" t="s">
        <v>8706</v>
      </c>
      <c r="G257" s="34" t="s">
        <v>16543</v>
      </c>
      <c r="H257" s="34" t="s">
        <v>9825</v>
      </c>
      <c r="I257" s="35">
        <v>1</v>
      </c>
      <c r="J257" s="34" t="s">
        <v>17402</v>
      </c>
      <c r="K257" s="35"/>
      <c r="L257" s="34" t="s">
        <v>17062</v>
      </c>
      <c r="M257" s="35" t="s">
        <v>9</v>
      </c>
      <c r="N257" s="34" t="s">
        <v>17403</v>
      </c>
      <c r="O257" s="35" t="s">
        <v>164</v>
      </c>
      <c r="P257" s="35" t="s">
        <v>2271</v>
      </c>
    </row>
    <row r="258" spans="1:16" ht="409.6" x14ac:dyDescent="0.25">
      <c r="A258" s="35">
        <v>256</v>
      </c>
      <c r="B258" s="34" t="s">
        <v>17404</v>
      </c>
      <c r="C258" s="35"/>
      <c r="D258" s="34" t="s">
        <v>17405</v>
      </c>
      <c r="E258" s="34" t="s">
        <v>17406</v>
      </c>
      <c r="F258" s="34" t="s">
        <v>17407</v>
      </c>
      <c r="G258" s="34" t="s">
        <v>17408</v>
      </c>
      <c r="H258" s="34" t="s">
        <v>17409</v>
      </c>
      <c r="I258" s="35">
        <v>1</v>
      </c>
      <c r="J258" s="34" t="s">
        <v>17410</v>
      </c>
      <c r="K258" s="35"/>
      <c r="L258" s="34" t="s">
        <v>17062</v>
      </c>
      <c r="M258" s="35" t="s">
        <v>9</v>
      </c>
      <c r="N258" s="34" t="s">
        <v>17411</v>
      </c>
      <c r="O258" s="35" t="s">
        <v>164</v>
      </c>
      <c r="P258" s="35" t="s">
        <v>2436</v>
      </c>
    </row>
    <row r="259" spans="1:16" ht="409.6" x14ac:dyDescent="0.25">
      <c r="A259" s="35">
        <v>257</v>
      </c>
      <c r="B259" s="34" t="s">
        <v>17412</v>
      </c>
      <c r="C259" s="35"/>
      <c r="D259" s="34" t="s">
        <v>17413</v>
      </c>
      <c r="E259" s="34" t="s">
        <v>17414</v>
      </c>
      <c r="F259" s="34" t="s">
        <v>17415</v>
      </c>
      <c r="G259" s="34" t="s">
        <v>17416</v>
      </c>
      <c r="H259" s="34"/>
      <c r="I259" s="35">
        <v>1</v>
      </c>
      <c r="J259" s="34" t="s">
        <v>17417</v>
      </c>
      <c r="K259" s="35"/>
      <c r="L259" s="34" t="s">
        <v>17062</v>
      </c>
      <c r="M259" s="35" t="s">
        <v>9</v>
      </c>
      <c r="N259" s="34" t="s">
        <v>17418</v>
      </c>
      <c r="O259" s="35" t="s">
        <v>164</v>
      </c>
      <c r="P259" s="35" t="s">
        <v>2436</v>
      </c>
    </row>
    <row r="260" spans="1:16" ht="409.6" x14ac:dyDescent="0.25">
      <c r="A260" s="35">
        <v>258</v>
      </c>
      <c r="B260" s="34" t="s">
        <v>17419</v>
      </c>
      <c r="C260" s="35" t="s">
        <v>17420</v>
      </c>
      <c r="D260" s="34" t="s">
        <v>17421</v>
      </c>
      <c r="E260" s="34" t="s">
        <v>17422</v>
      </c>
      <c r="F260" s="34" t="s">
        <v>17423</v>
      </c>
      <c r="G260" s="34" t="s">
        <v>17424</v>
      </c>
      <c r="H260" s="34" t="s">
        <v>17425</v>
      </c>
      <c r="I260" s="35">
        <v>1</v>
      </c>
      <c r="J260" s="34" t="s">
        <v>17426</v>
      </c>
      <c r="K260" s="35"/>
      <c r="L260" s="34" t="s">
        <v>17062</v>
      </c>
      <c r="M260" s="35" t="s">
        <v>9</v>
      </c>
      <c r="N260" s="34" t="s">
        <v>14076</v>
      </c>
      <c r="O260" s="35" t="s">
        <v>164</v>
      </c>
      <c r="P260" s="35" t="s">
        <v>2436</v>
      </c>
    </row>
    <row r="261" spans="1:16" ht="409.6" x14ac:dyDescent="0.25">
      <c r="A261" s="35">
        <v>259</v>
      </c>
      <c r="B261" s="34" t="s">
        <v>17427</v>
      </c>
      <c r="C261" s="35"/>
      <c r="D261" s="34" t="s">
        <v>17428</v>
      </c>
      <c r="E261" s="34" t="s">
        <v>17429</v>
      </c>
      <c r="F261" s="34" t="s">
        <v>14512</v>
      </c>
      <c r="G261" s="34" t="s">
        <v>15739</v>
      </c>
      <c r="H261" s="34" t="s">
        <v>10036</v>
      </c>
      <c r="I261" s="35">
        <v>1</v>
      </c>
      <c r="J261" s="34" t="s">
        <v>17430</v>
      </c>
      <c r="K261" s="35"/>
      <c r="L261" s="34" t="s">
        <v>17062</v>
      </c>
      <c r="M261" s="35" t="s">
        <v>9</v>
      </c>
      <c r="N261" s="34" t="s">
        <v>15768</v>
      </c>
      <c r="O261" s="35" t="s">
        <v>164</v>
      </c>
      <c r="P261" s="35" t="s">
        <v>2436</v>
      </c>
    </row>
    <row r="262" spans="1:16" ht="409.6" x14ac:dyDescent="0.25">
      <c r="A262" s="35">
        <v>260</v>
      </c>
      <c r="B262" s="34" t="s">
        <v>17431</v>
      </c>
      <c r="C262" s="35"/>
      <c r="D262" s="34" t="s">
        <v>17432</v>
      </c>
      <c r="E262" s="34" t="s">
        <v>17433</v>
      </c>
      <c r="F262" s="34" t="s">
        <v>17434</v>
      </c>
      <c r="G262" s="34" t="s">
        <v>17432</v>
      </c>
      <c r="H262" s="34" t="s">
        <v>17435</v>
      </c>
      <c r="I262" s="35">
        <v>1</v>
      </c>
      <c r="J262" s="34" t="s">
        <v>17436</v>
      </c>
      <c r="K262" s="35"/>
      <c r="L262" s="34" t="s">
        <v>17062</v>
      </c>
      <c r="M262" s="35" t="s">
        <v>9</v>
      </c>
      <c r="N262" s="34" t="s">
        <v>15777</v>
      </c>
      <c r="O262" s="35" t="s">
        <v>164</v>
      </c>
      <c r="P262" s="35" t="s">
        <v>2436</v>
      </c>
    </row>
    <row r="263" spans="1:16" ht="409.6" x14ac:dyDescent="0.25">
      <c r="A263" s="35">
        <v>261</v>
      </c>
      <c r="B263" s="34" t="s">
        <v>17437</v>
      </c>
      <c r="C263" s="35"/>
      <c r="D263" s="34" t="s">
        <v>17438</v>
      </c>
      <c r="E263" s="34" t="s">
        <v>17439</v>
      </c>
      <c r="F263" s="34" t="s">
        <v>17440</v>
      </c>
      <c r="G263" s="34" t="s">
        <v>17441</v>
      </c>
      <c r="H263" s="34" t="s">
        <v>17442</v>
      </c>
      <c r="I263" s="35">
        <v>1</v>
      </c>
      <c r="J263" s="34" t="s">
        <v>17443</v>
      </c>
      <c r="K263" s="35"/>
      <c r="L263" s="34" t="s">
        <v>17062</v>
      </c>
      <c r="M263" s="35" t="s">
        <v>9</v>
      </c>
      <c r="N263" s="34" t="s">
        <v>17444</v>
      </c>
      <c r="O263" s="35" t="s">
        <v>164</v>
      </c>
      <c r="P263" s="35" t="s">
        <v>2514</v>
      </c>
    </row>
    <row r="264" spans="1:16" ht="409.6" x14ac:dyDescent="0.25">
      <c r="A264" s="35">
        <v>262</v>
      </c>
      <c r="B264" s="34" t="s">
        <v>17445</v>
      </c>
      <c r="C264" s="35"/>
      <c r="D264" s="34" t="s">
        <v>17446</v>
      </c>
      <c r="E264" s="34" t="s">
        <v>17447</v>
      </c>
      <c r="F264" s="34" t="s">
        <v>17448</v>
      </c>
      <c r="G264" s="34" t="s">
        <v>17449</v>
      </c>
      <c r="H264" s="34" t="s">
        <v>17450</v>
      </c>
      <c r="I264" s="35">
        <v>1</v>
      </c>
      <c r="J264" s="34" t="s">
        <v>17451</v>
      </c>
      <c r="K264" s="35"/>
      <c r="L264" s="34" t="s">
        <v>17062</v>
      </c>
      <c r="M264" s="35" t="s">
        <v>9</v>
      </c>
      <c r="N264" s="34" t="s">
        <v>17452</v>
      </c>
      <c r="O264" s="35" t="s">
        <v>164</v>
      </c>
      <c r="P264" s="35" t="s">
        <v>2514</v>
      </c>
    </row>
    <row r="265" spans="1:16" ht="409.6" x14ac:dyDescent="0.25">
      <c r="A265" s="35">
        <v>263</v>
      </c>
      <c r="B265" s="34" t="s">
        <v>17453</v>
      </c>
      <c r="C265" s="35"/>
      <c r="D265" s="34" t="s">
        <v>17454</v>
      </c>
      <c r="E265" s="34" t="s">
        <v>15739</v>
      </c>
      <c r="F265" s="34" t="s">
        <v>17343</v>
      </c>
      <c r="G265" s="34" t="s">
        <v>16142</v>
      </c>
      <c r="H265" s="34" t="s">
        <v>17455</v>
      </c>
      <c r="I265" s="35">
        <v>1</v>
      </c>
      <c r="J265" s="34" t="s">
        <v>17456</v>
      </c>
      <c r="K265" s="35"/>
      <c r="L265" s="34" t="s">
        <v>17062</v>
      </c>
      <c r="M265" s="35" t="s">
        <v>9</v>
      </c>
      <c r="N265" s="34" t="s">
        <v>17457</v>
      </c>
      <c r="O265" s="35" t="s">
        <v>164</v>
      </c>
      <c r="P265" s="35" t="s">
        <v>2514</v>
      </c>
    </row>
    <row r="266" spans="1:16" ht="409.6" x14ac:dyDescent="0.25">
      <c r="A266" s="35">
        <v>264</v>
      </c>
      <c r="B266" s="34" t="s">
        <v>17458</v>
      </c>
      <c r="C266" s="35"/>
      <c r="D266" s="34" t="s">
        <v>17459</v>
      </c>
      <c r="E266" s="34" t="s">
        <v>17460</v>
      </c>
      <c r="F266" s="34" t="s">
        <v>17461</v>
      </c>
      <c r="G266" s="34" t="s">
        <v>17462</v>
      </c>
      <c r="H266" s="34" t="s">
        <v>17463</v>
      </c>
      <c r="I266" s="35">
        <v>1</v>
      </c>
      <c r="J266" s="34" t="s">
        <v>17464</v>
      </c>
      <c r="K266" s="35"/>
      <c r="L266" s="34" t="s">
        <v>17062</v>
      </c>
      <c r="M266" s="35" t="s">
        <v>9</v>
      </c>
      <c r="N266" s="34" t="s">
        <v>17465</v>
      </c>
      <c r="O266" s="35" t="s">
        <v>164</v>
      </c>
      <c r="P266" s="35" t="s">
        <v>2514</v>
      </c>
    </row>
    <row r="267" spans="1:16" ht="409.6" x14ac:dyDescent="0.25">
      <c r="A267" s="35">
        <v>265</v>
      </c>
      <c r="B267" s="34" t="s">
        <v>17466</v>
      </c>
      <c r="C267" s="35"/>
      <c r="D267" s="34" t="s">
        <v>17467</v>
      </c>
      <c r="E267" s="34" t="s">
        <v>17468</v>
      </c>
      <c r="F267" s="34" t="s">
        <v>17469</v>
      </c>
      <c r="G267" s="34" t="s">
        <v>17470</v>
      </c>
      <c r="H267" s="34" t="s">
        <v>17471</v>
      </c>
      <c r="I267" s="35">
        <v>1</v>
      </c>
      <c r="J267" s="34" t="s">
        <v>17472</v>
      </c>
      <c r="K267" s="35"/>
      <c r="L267" s="34" t="s">
        <v>17062</v>
      </c>
      <c r="M267" s="35" t="s">
        <v>9</v>
      </c>
      <c r="N267" s="34" t="s">
        <v>17473</v>
      </c>
      <c r="O267" s="35" t="s">
        <v>164</v>
      </c>
      <c r="P267" s="35" t="s">
        <v>2514</v>
      </c>
    </row>
    <row r="268" spans="1:16" ht="409.6" x14ac:dyDescent="0.25">
      <c r="A268" s="35">
        <v>266</v>
      </c>
      <c r="B268" s="34" t="s">
        <v>17474</v>
      </c>
      <c r="C268" s="35"/>
      <c r="D268" s="34" t="s">
        <v>17475</v>
      </c>
      <c r="E268" s="34" t="s">
        <v>17476</v>
      </c>
      <c r="F268" s="34" t="s">
        <v>17477</v>
      </c>
      <c r="G268" s="34" t="s">
        <v>17478</v>
      </c>
      <c r="H268" s="34" t="s">
        <v>17479</v>
      </c>
      <c r="I268" s="35">
        <v>1</v>
      </c>
      <c r="J268" s="34" t="s">
        <v>17480</v>
      </c>
      <c r="K268" s="35"/>
      <c r="L268" s="34" t="s">
        <v>17062</v>
      </c>
      <c r="M268" s="35" t="s">
        <v>9</v>
      </c>
      <c r="N268" s="34" t="s">
        <v>17481</v>
      </c>
      <c r="O268" s="35" t="s">
        <v>164</v>
      </c>
      <c r="P268" s="35" t="s">
        <v>2514</v>
      </c>
    </row>
    <row r="269" spans="1:16" ht="409.6" x14ac:dyDescent="0.25">
      <c r="A269" s="35">
        <v>267</v>
      </c>
      <c r="B269" s="34" t="s">
        <v>17482</v>
      </c>
      <c r="C269" s="35"/>
      <c r="D269" s="34" t="s">
        <v>17483</v>
      </c>
      <c r="E269" s="34" t="s">
        <v>17484</v>
      </c>
      <c r="F269" s="34" t="s">
        <v>17485</v>
      </c>
      <c r="G269" s="34" t="s">
        <v>17486</v>
      </c>
      <c r="H269" s="34" t="s">
        <v>17487</v>
      </c>
      <c r="I269" s="35">
        <v>1</v>
      </c>
      <c r="J269" s="34" t="s">
        <v>17488</v>
      </c>
      <c r="K269" s="35"/>
      <c r="L269" s="34" t="s">
        <v>17062</v>
      </c>
      <c r="M269" s="35" t="s">
        <v>9</v>
      </c>
      <c r="N269" s="34" t="s">
        <v>17489</v>
      </c>
      <c r="O269" s="35" t="s">
        <v>164</v>
      </c>
      <c r="P269" s="35" t="s">
        <v>2514</v>
      </c>
    </row>
    <row r="270" spans="1:16" ht="13.2" x14ac:dyDescent="0.25">
      <c r="A270">
        <v>268</v>
      </c>
      <c r="B270" t="s">
        <v>17490</v>
      </c>
      <c r="D270" t="s">
        <v>17491</v>
      </c>
      <c r="E270" t="s">
        <v>13688</v>
      </c>
      <c r="F270" t="s">
        <v>13657</v>
      </c>
      <c r="G270" t="s">
        <v>13658</v>
      </c>
      <c r="H270" t="s">
        <v>13659</v>
      </c>
      <c r="I270">
        <v>1</v>
      </c>
      <c r="J270" t="s">
        <v>17492</v>
      </c>
      <c r="L270" t="s">
        <v>17493</v>
      </c>
      <c r="M270" t="s">
        <v>29</v>
      </c>
      <c r="N270" t="s">
        <v>17494</v>
      </c>
    </row>
    <row r="271" spans="1:16" ht="13.2" x14ac:dyDescent="0.25">
      <c r="A271">
        <v>269</v>
      </c>
      <c r="B271" t="s">
        <v>17495</v>
      </c>
      <c r="D271" t="s">
        <v>17496</v>
      </c>
      <c r="E271" t="s">
        <v>17497</v>
      </c>
      <c r="F271" t="s">
        <v>17498</v>
      </c>
      <c r="G271" t="s">
        <v>17499</v>
      </c>
      <c r="H271" t="s">
        <v>17500</v>
      </c>
      <c r="I271" t="s">
        <v>84</v>
      </c>
      <c r="J271" t="s">
        <v>17501</v>
      </c>
      <c r="K271" t="s">
        <v>17502</v>
      </c>
      <c r="L271" t="s">
        <v>17503</v>
      </c>
      <c r="M271" t="s">
        <v>29</v>
      </c>
      <c r="N271" t="s">
        <v>17503</v>
      </c>
    </row>
    <row r="272" spans="1:16" ht="13.2" x14ac:dyDescent="0.25">
      <c r="A272">
        <v>270</v>
      </c>
      <c r="B272" t="s">
        <v>17504</v>
      </c>
      <c r="D272" t="s">
        <v>16738</v>
      </c>
      <c r="E272" t="s">
        <v>15199</v>
      </c>
      <c r="F272" t="s">
        <v>17505</v>
      </c>
      <c r="G272" t="s">
        <v>17506</v>
      </c>
      <c r="H272" t="s">
        <v>17507</v>
      </c>
      <c r="I272" t="s">
        <v>84</v>
      </c>
      <c r="J272" t="s">
        <v>17508</v>
      </c>
      <c r="L272" t="s">
        <v>1645</v>
      </c>
      <c r="M272" t="s">
        <v>29</v>
      </c>
      <c r="N272" t="s">
        <v>17509</v>
      </c>
    </row>
    <row r="273" spans="1:14" ht="13.2" x14ac:dyDescent="0.25">
      <c r="A273">
        <v>271</v>
      </c>
      <c r="B273" t="s">
        <v>17510</v>
      </c>
      <c r="D273" t="s">
        <v>17511</v>
      </c>
      <c r="E273" t="s">
        <v>17512</v>
      </c>
      <c r="F273" t="s">
        <v>17513</v>
      </c>
      <c r="G273" t="s">
        <v>17514</v>
      </c>
      <c r="H273" t="s">
        <v>17515</v>
      </c>
      <c r="I273" t="s">
        <v>84</v>
      </c>
      <c r="J273" t="s">
        <v>17516</v>
      </c>
      <c r="L273" t="s">
        <v>1645</v>
      </c>
      <c r="M273" t="s">
        <v>29</v>
      </c>
      <c r="N273" t="s">
        <v>17517</v>
      </c>
    </row>
  </sheetData>
  <mergeCells count="1">
    <mergeCell ref="A1:F1"/>
  </mergeCell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Q247"/>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7" ht="34.950000000000003" customHeight="1" x14ac:dyDescent="0.25">
      <c r="A1" s="51" t="str">
        <f>HYPERLINK("#gid=0", "🏠 กลับสู่หน้าแรก (Go to Home Page)")</f>
        <v>🏠 กลับสู่หน้าแรก (Go to Home Page)</v>
      </c>
      <c r="B1" s="49"/>
      <c r="C1" s="49"/>
      <c r="D1" s="49"/>
      <c r="E1" s="49"/>
      <c r="F1" s="49"/>
    </row>
    <row r="2" spans="1:17"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7" ht="13.2" customHeight="1" x14ac:dyDescent="0.25">
      <c r="A3" s="33">
        <v>1</v>
      </c>
      <c r="B3" s="34" t="s">
        <v>17518</v>
      </c>
      <c r="C3" s="35"/>
      <c r="D3" s="34" t="s">
        <v>17519</v>
      </c>
      <c r="E3" s="34" t="s">
        <v>17520</v>
      </c>
      <c r="F3" s="34" t="s">
        <v>17521</v>
      </c>
      <c r="G3" s="34" t="s">
        <v>1350</v>
      </c>
      <c r="H3" s="34" t="s">
        <v>1349</v>
      </c>
      <c r="I3" s="33" t="s">
        <v>123</v>
      </c>
      <c r="J3" s="34" t="s">
        <v>17522</v>
      </c>
      <c r="K3" s="35"/>
      <c r="L3" s="34" t="s">
        <v>17523</v>
      </c>
      <c r="M3" s="35" t="s">
        <v>9</v>
      </c>
      <c r="N3" s="34" t="s">
        <v>17524</v>
      </c>
      <c r="O3" s="35" t="s">
        <v>816</v>
      </c>
      <c r="P3" s="35" t="s">
        <v>1849</v>
      </c>
      <c r="Q3" s="2"/>
    </row>
    <row r="4" spans="1:17" ht="13.2" customHeight="1" x14ac:dyDescent="0.25">
      <c r="A4" s="33">
        <v>2</v>
      </c>
      <c r="B4" s="34" t="s">
        <v>17525</v>
      </c>
      <c r="C4" s="35"/>
      <c r="D4" s="34" t="s">
        <v>6813</v>
      </c>
      <c r="E4" s="34" t="s">
        <v>4788</v>
      </c>
      <c r="F4" s="34" t="s">
        <v>17526</v>
      </c>
      <c r="G4" s="34" t="s">
        <v>6955</v>
      </c>
      <c r="H4" s="34" t="s">
        <v>17527</v>
      </c>
      <c r="I4" s="33" t="s">
        <v>96</v>
      </c>
      <c r="J4" s="34" t="s">
        <v>17528</v>
      </c>
      <c r="K4" s="35"/>
      <c r="L4" s="34" t="s">
        <v>17523</v>
      </c>
      <c r="M4" s="35" t="s">
        <v>9</v>
      </c>
      <c r="N4" s="34" t="s">
        <v>17529</v>
      </c>
      <c r="O4" s="35" t="s">
        <v>816</v>
      </c>
      <c r="P4" s="35" t="s">
        <v>1849</v>
      </c>
      <c r="Q4" s="2"/>
    </row>
    <row r="5" spans="1:17" ht="13.2" customHeight="1" x14ac:dyDescent="0.25">
      <c r="A5" s="33">
        <v>3</v>
      </c>
      <c r="B5" s="34" t="s">
        <v>17530</v>
      </c>
      <c r="C5" s="35"/>
      <c r="D5" s="34" t="s">
        <v>17531</v>
      </c>
      <c r="E5" s="34" t="s">
        <v>17532</v>
      </c>
      <c r="F5" s="34" t="s">
        <v>17533</v>
      </c>
      <c r="G5" s="34" t="s">
        <v>17534</v>
      </c>
      <c r="H5" s="34" t="s">
        <v>17535</v>
      </c>
      <c r="I5" s="33" t="s">
        <v>90</v>
      </c>
      <c r="J5" s="34" t="s">
        <v>17536</v>
      </c>
      <c r="K5" s="35"/>
      <c r="L5" s="34" t="s">
        <v>17523</v>
      </c>
      <c r="M5" s="35" t="s">
        <v>9</v>
      </c>
      <c r="N5" s="34" t="s">
        <v>17537</v>
      </c>
      <c r="O5" s="35" t="s">
        <v>816</v>
      </c>
      <c r="P5" s="35" t="s">
        <v>1849</v>
      </c>
      <c r="Q5" s="2"/>
    </row>
    <row r="6" spans="1:17" ht="13.2" customHeight="1" x14ac:dyDescent="0.25">
      <c r="A6" s="33">
        <v>4</v>
      </c>
      <c r="B6" s="34" t="s">
        <v>17538</v>
      </c>
      <c r="C6" s="35"/>
      <c r="D6" s="34" t="s">
        <v>17539</v>
      </c>
      <c r="E6" s="34" t="s">
        <v>17540</v>
      </c>
      <c r="F6" s="34" t="s">
        <v>17541</v>
      </c>
      <c r="G6" s="34" t="s">
        <v>17542</v>
      </c>
      <c r="H6" s="34" t="s">
        <v>17543</v>
      </c>
      <c r="I6" s="33" t="s">
        <v>96</v>
      </c>
      <c r="J6" s="34" t="s">
        <v>17544</v>
      </c>
      <c r="K6" s="35"/>
      <c r="L6" s="34" t="s">
        <v>17523</v>
      </c>
      <c r="M6" s="35" t="s">
        <v>9</v>
      </c>
      <c r="N6" s="34" t="s">
        <v>17545</v>
      </c>
      <c r="O6" s="35" t="s">
        <v>816</v>
      </c>
      <c r="P6" s="35" t="s">
        <v>1849</v>
      </c>
      <c r="Q6" s="2"/>
    </row>
    <row r="7" spans="1:17" ht="13.2" customHeight="1" x14ac:dyDescent="0.25">
      <c r="A7" s="33">
        <v>5</v>
      </c>
      <c r="B7" s="34" t="s">
        <v>17546</v>
      </c>
      <c r="C7" s="35"/>
      <c r="D7" s="34" t="s">
        <v>17547</v>
      </c>
      <c r="E7" s="34" t="s">
        <v>17548</v>
      </c>
      <c r="F7" s="34" t="s">
        <v>17549</v>
      </c>
      <c r="G7" s="34" t="s">
        <v>17550</v>
      </c>
      <c r="H7" s="34" t="s">
        <v>17551</v>
      </c>
      <c r="I7" s="33" t="s">
        <v>123</v>
      </c>
      <c r="J7" s="34" t="s">
        <v>17552</v>
      </c>
      <c r="K7" s="35"/>
      <c r="L7" s="34" t="s">
        <v>17553</v>
      </c>
      <c r="M7" s="35" t="s">
        <v>9</v>
      </c>
      <c r="N7" s="34" t="s">
        <v>17554</v>
      </c>
      <c r="O7" s="35" t="s">
        <v>816</v>
      </c>
      <c r="P7" s="35" t="s">
        <v>1849</v>
      </c>
      <c r="Q7" s="2"/>
    </row>
    <row r="8" spans="1:17" ht="13.2" customHeight="1" x14ac:dyDescent="0.25">
      <c r="A8" s="33">
        <v>6</v>
      </c>
      <c r="B8" s="34" t="s">
        <v>17555</v>
      </c>
      <c r="C8" s="35"/>
      <c r="D8" s="34" t="s">
        <v>3181</v>
      </c>
      <c r="E8" s="34" t="s">
        <v>3524</v>
      </c>
      <c r="F8" s="34" t="s">
        <v>9809</v>
      </c>
      <c r="G8" s="34" t="s">
        <v>8961</v>
      </c>
      <c r="H8" s="34" t="s">
        <v>17556</v>
      </c>
      <c r="I8" s="33" t="s">
        <v>90</v>
      </c>
      <c r="J8" s="34" t="s">
        <v>17557</v>
      </c>
      <c r="K8" s="35"/>
      <c r="L8" s="34" t="s">
        <v>17553</v>
      </c>
      <c r="M8" s="35" t="s">
        <v>9</v>
      </c>
      <c r="N8" s="34" t="s">
        <v>17558</v>
      </c>
      <c r="O8" s="35" t="s">
        <v>816</v>
      </c>
      <c r="P8" s="35" t="s">
        <v>1849</v>
      </c>
      <c r="Q8" s="2"/>
    </row>
    <row r="9" spans="1:17" ht="13.2" customHeight="1" x14ac:dyDescent="0.25">
      <c r="A9" s="33">
        <v>7</v>
      </c>
      <c r="B9" s="34" t="s">
        <v>17559</v>
      </c>
      <c r="C9" s="35"/>
      <c r="D9" s="34" t="s">
        <v>10037</v>
      </c>
      <c r="E9" s="34" t="s">
        <v>3301</v>
      </c>
      <c r="F9" s="34" t="s">
        <v>17560</v>
      </c>
      <c r="G9" s="34" t="s">
        <v>3298</v>
      </c>
      <c r="H9" s="34" t="s">
        <v>17561</v>
      </c>
      <c r="I9" s="33" t="s">
        <v>90</v>
      </c>
      <c r="J9" s="34" t="s">
        <v>17562</v>
      </c>
      <c r="K9" s="35"/>
      <c r="L9" s="34" t="s">
        <v>17553</v>
      </c>
      <c r="M9" s="35" t="s">
        <v>9</v>
      </c>
      <c r="N9" s="34" t="s">
        <v>17563</v>
      </c>
      <c r="O9" s="35" t="s">
        <v>816</v>
      </c>
      <c r="P9" s="35" t="s">
        <v>1849</v>
      </c>
      <c r="Q9" s="2"/>
    </row>
    <row r="10" spans="1:17" ht="13.2" customHeight="1" x14ac:dyDescent="0.25">
      <c r="A10" s="33">
        <v>8</v>
      </c>
      <c r="B10" s="34" t="s">
        <v>17564</v>
      </c>
      <c r="C10" s="35"/>
      <c r="D10" s="34" t="s">
        <v>17565</v>
      </c>
      <c r="E10" s="34" t="s">
        <v>17566</v>
      </c>
      <c r="F10" s="34" t="s">
        <v>17567</v>
      </c>
      <c r="G10" s="34" t="s">
        <v>17568</v>
      </c>
      <c r="H10" s="34" t="s">
        <v>17569</v>
      </c>
      <c r="I10" s="33" t="s">
        <v>113</v>
      </c>
      <c r="J10" s="34" t="s">
        <v>17570</v>
      </c>
      <c r="K10" s="35"/>
      <c r="L10" s="34" t="s">
        <v>17553</v>
      </c>
      <c r="M10" s="35" t="s">
        <v>9</v>
      </c>
      <c r="N10" s="34" t="s">
        <v>17571</v>
      </c>
      <c r="O10" s="35" t="s">
        <v>816</v>
      </c>
      <c r="P10" s="35" t="s">
        <v>1849</v>
      </c>
      <c r="Q10" s="2"/>
    </row>
    <row r="11" spans="1:17" ht="13.2" customHeight="1" x14ac:dyDescent="0.25">
      <c r="A11" s="33">
        <v>9</v>
      </c>
      <c r="B11" s="34" t="s">
        <v>17572</v>
      </c>
      <c r="C11" s="35"/>
      <c r="D11" s="34" t="s">
        <v>15634</v>
      </c>
      <c r="E11" s="34" t="s">
        <v>16234</v>
      </c>
      <c r="F11" s="34" t="s">
        <v>17573</v>
      </c>
      <c r="G11" s="34" t="s">
        <v>17574</v>
      </c>
      <c r="H11" s="34" t="s">
        <v>17575</v>
      </c>
      <c r="I11" s="33" t="s">
        <v>96</v>
      </c>
      <c r="J11" s="34" t="s">
        <v>17576</v>
      </c>
      <c r="K11" s="35"/>
      <c r="L11" s="34" t="s">
        <v>17577</v>
      </c>
      <c r="M11" s="35" t="s">
        <v>9</v>
      </c>
      <c r="N11" s="34" t="s">
        <v>17578</v>
      </c>
      <c r="O11" s="35" t="s">
        <v>14199</v>
      </c>
      <c r="P11" s="33" t="s">
        <v>165</v>
      </c>
      <c r="Q11" s="2"/>
    </row>
    <row r="12" spans="1:17" ht="13.2" customHeight="1" x14ac:dyDescent="0.25">
      <c r="A12" s="33">
        <v>10</v>
      </c>
      <c r="B12" s="34" t="s">
        <v>17579</v>
      </c>
      <c r="C12" s="35"/>
      <c r="D12" s="34" t="s">
        <v>17580</v>
      </c>
      <c r="E12" s="34" t="s">
        <v>17581</v>
      </c>
      <c r="F12" s="34" t="s">
        <v>17582</v>
      </c>
      <c r="G12" s="34" t="s">
        <v>17583</v>
      </c>
      <c r="H12" s="34" t="s">
        <v>17584</v>
      </c>
      <c r="I12" s="33" t="s">
        <v>113</v>
      </c>
      <c r="J12" s="34" t="s">
        <v>17585</v>
      </c>
      <c r="K12" s="35"/>
      <c r="L12" s="34" t="s">
        <v>17586</v>
      </c>
      <c r="M12" s="35" t="s">
        <v>9</v>
      </c>
      <c r="N12" s="34" t="s">
        <v>17587</v>
      </c>
      <c r="O12" s="35" t="s">
        <v>14199</v>
      </c>
      <c r="P12" s="33" t="s">
        <v>165</v>
      </c>
      <c r="Q12" s="2"/>
    </row>
    <row r="13" spans="1:17" ht="13.2" customHeight="1" x14ac:dyDescent="0.25">
      <c r="A13" s="33">
        <v>11</v>
      </c>
      <c r="B13" s="34" t="s">
        <v>17588</v>
      </c>
      <c r="C13" s="35"/>
      <c r="D13" s="34" t="s">
        <v>9809</v>
      </c>
      <c r="E13" s="34" t="s">
        <v>17245</v>
      </c>
      <c r="F13" s="34" t="s">
        <v>16582</v>
      </c>
      <c r="G13" s="34" t="s">
        <v>16488</v>
      </c>
      <c r="H13" s="34" t="s">
        <v>9781</v>
      </c>
      <c r="I13" s="33" t="s">
        <v>96</v>
      </c>
      <c r="J13" s="34" t="s">
        <v>17589</v>
      </c>
      <c r="K13" s="35"/>
      <c r="L13" s="34" t="s">
        <v>17590</v>
      </c>
      <c r="M13" s="35" t="s">
        <v>9</v>
      </c>
      <c r="N13" s="34" t="s">
        <v>17591</v>
      </c>
      <c r="O13" s="35" t="s">
        <v>14199</v>
      </c>
      <c r="P13" s="33" t="s">
        <v>165</v>
      </c>
      <c r="Q13" s="2"/>
    </row>
    <row r="14" spans="1:17" ht="13.2" customHeight="1" x14ac:dyDescent="0.25">
      <c r="A14" s="33">
        <v>12</v>
      </c>
      <c r="B14" s="34" t="s">
        <v>17592</v>
      </c>
      <c r="C14" s="35"/>
      <c r="D14" s="34" t="s">
        <v>17593</v>
      </c>
      <c r="E14" s="34" t="s">
        <v>17594</v>
      </c>
      <c r="F14" s="34" t="s">
        <v>17595</v>
      </c>
      <c r="G14" s="34" t="s">
        <v>17596</v>
      </c>
      <c r="H14" s="34" t="s">
        <v>17597</v>
      </c>
      <c r="I14" s="33" t="s">
        <v>90</v>
      </c>
      <c r="J14" s="34" t="s">
        <v>17598</v>
      </c>
      <c r="K14" s="35"/>
      <c r="L14" s="34" t="s">
        <v>17599</v>
      </c>
      <c r="M14" s="35" t="s">
        <v>9</v>
      </c>
      <c r="N14" s="34" t="s">
        <v>17600</v>
      </c>
      <c r="O14" s="35" t="s">
        <v>14199</v>
      </c>
      <c r="P14" s="33" t="s">
        <v>224</v>
      </c>
      <c r="Q14" s="2"/>
    </row>
    <row r="15" spans="1:17" ht="13.2" customHeight="1" x14ac:dyDescent="0.25">
      <c r="A15" s="33">
        <v>13</v>
      </c>
      <c r="B15" s="34" t="s">
        <v>17601</v>
      </c>
      <c r="C15" s="35"/>
      <c r="D15" s="34" t="s">
        <v>17602</v>
      </c>
      <c r="E15" s="34" t="s">
        <v>17603</v>
      </c>
      <c r="F15" s="34" t="s">
        <v>17604</v>
      </c>
      <c r="G15" s="34" t="s">
        <v>17605</v>
      </c>
      <c r="H15" s="34" t="s">
        <v>17606</v>
      </c>
      <c r="I15" s="33" t="s">
        <v>84</v>
      </c>
      <c r="J15" s="34" t="s">
        <v>17607</v>
      </c>
      <c r="K15" s="35"/>
      <c r="L15" s="34" t="s">
        <v>17523</v>
      </c>
      <c r="M15" s="35" t="s">
        <v>17602</v>
      </c>
      <c r="N15" s="34" t="s">
        <v>9745</v>
      </c>
      <c r="O15" s="35" t="s">
        <v>164</v>
      </c>
      <c r="P15" s="35" t="s">
        <v>2017</v>
      </c>
    </row>
    <row r="16" spans="1:17" ht="13.2" customHeight="1" x14ac:dyDescent="0.25">
      <c r="A16" s="33">
        <v>14</v>
      </c>
      <c r="B16" s="34" t="s">
        <v>17608</v>
      </c>
      <c r="C16" s="35"/>
      <c r="D16" s="34" t="s">
        <v>17602</v>
      </c>
      <c r="E16" s="34" t="s">
        <v>17606</v>
      </c>
      <c r="F16" s="34" t="s">
        <v>17609</v>
      </c>
      <c r="G16" s="34" t="s">
        <v>17610</v>
      </c>
      <c r="H16" s="34" t="s">
        <v>17611</v>
      </c>
      <c r="I16" s="33" t="s">
        <v>84</v>
      </c>
      <c r="J16" s="34" t="s">
        <v>17612</v>
      </c>
      <c r="K16" s="35"/>
      <c r="L16" s="34" t="s">
        <v>17553</v>
      </c>
      <c r="M16" s="35" t="s">
        <v>17602</v>
      </c>
      <c r="N16" s="34" t="s">
        <v>11814</v>
      </c>
      <c r="O16" s="35" t="s">
        <v>164</v>
      </c>
      <c r="P16" s="35" t="s">
        <v>2017</v>
      </c>
    </row>
    <row r="17" spans="1:17" ht="13.2" customHeight="1" x14ac:dyDescent="0.25">
      <c r="A17" s="33">
        <v>15</v>
      </c>
      <c r="B17" s="34" t="s">
        <v>17613</v>
      </c>
      <c r="C17" s="35"/>
      <c r="D17" s="34" t="s">
        <v>17602</v>
      </c>
      <c r="E17" s="34" t="s">
        <v>17611</v>
      </c>
      <c r="F17" s="34" t="s">
        <v>17614</v>
      </c>
      <c r="G17" s="34" t="s">
        <v>17615</v>
      </c>
      <c r="H17" s="34" t="s">
        <v>17616</v>
      </c>
      <c r="I17" s="33" t="s">
        <v>84</v>
      </c>
      <c r="J17" s="34" t="s">
        <v>17617</v>
      </c>
      <c r="K17" s="35"/>
      <c r="L17" s="34" t="s">
        <v>17553</v>
      </c>
      <c r="M17" s="35" t="s">
        <v>17602</v>
      </c>
      <c r="N17" s="34" t="s">
        <v>9745</v>
      </c>
      <c r="O17" s="35" t="s">
        <v>164</v>
      </c>
      <c r="P17" s="35" t="s">
        <v>2017</v>
      </c>
    </row>
    <row r="18" spans="1:17" ht="13.2" customHeight="1" x14ac:dyDescent="0.25">
      <c r="A18" s="33">
        <v>16</v>
      </c>
      <c r="B18" s="34" t="s">
        <v>17618</v>
      </c>
      <c r="C18" s="35"/>
      <c r="D18" s="34" t="s">
        <v>17602</v>
      </c>
      <c r="E18" s="34" t="s">
        <v>17616</v>
      </c>
      <c r="F18" s="34" t="s">
        <v>17603</v>
      </c>
      <c r="G18" s="34" t="s">
        <v>17604</v>
      </c>
      <c r="H18" s="34" t="s">
        <v>17605</v>
      </c>
      <c r="I18" s="33" t="s">
        <v>84</v>
      </c>
      <c r="J18" s="34" t="s">
        <v>17619</v>
      </c>
      <c r="K18" s="35"/>
      <c r="L18" s="34" t="s">
        <v>17553</v>
      </c>
      <c r="M18" s="35" t="s">
        <v>17602</v>
      </c>
      <c r="N18" s="34" t="s">
        <v>6757</v>
      </c>
      <c r="O18" s="35" t="s">
        <v>164</v>
      </c>
      <c r="P18" s="35" t="s">
        <v>2017</v>
      </c>
    </row>
    <row r="19" spans="1:17" ht="13.2" customHeight="1" x14ac:dyDescent="0.25">
      <c r="A19" s="33">
        <v>17</v>
      </c>
      <c r="B19" s="34" t="s">
        <v>17620</v>
      </c>
      <c r="C19" s="35"/>
      <c r="D19" s="34" t="s">
        <v>17602</v>
      </c>
      <c r="E19" s="34" t="s">
        <v>17605</v>
      </c>
      <c r="F19" s="34" t="s">
        <v>17606</v>
      </c>
      <c r="G19" s="34" t="s">
        <v>17609</v>
      </c>
      <c r="H19" s="34" t="s">
        <v>17610</v>
      </c>
      <c r="I19" s="33" t="s">
        <v>84</v>
      </c>
      <c r="J19" s="34" t="s">
        <v>17621</v>
      </c>
      <c r="K19" s="35"/>
      <c r="L19" s="34" t="s">
        <v>17523</v>
      </c>
      <c r="M19" s="35" t="s">
        <v>17602</v>
      </c>
      <c r="N19" s="34" t="s">
        <v>9745</v>
      </c>
      <c r="O19" s="35" t="s">
        <v>164</v>
      </c>
      <c r="P19" s="35" t="s">
        <v>2017</v>
      </c>
    </row>
    <row r="20" spans="1:17" ht="13.2" customHeight="1" x14ac:dyDescent="0.25">
      <c r="A20" s="33">
        <v>18</v>
      </c>
      <c r="B20" s="34" t="s">
        <v>17622</v>
      </c>
      <c r="C20" s="35"/>
      <c r="D20" s="34" t="s">
        <v>17602</v>
      </c>
      <c r="E20" s="34" t="s">
        <v>17610</v>
      </c>
      <c r="F20" s="34" t="s">
        <v>17611</v>
      </c>
      <c r="G20" s="34" t="s">
        <v>17614</v>
      </c>
      <c r="H20" s="34" t="s">
        <v>17615</v>
      </c>
      <c r="I20" s="33" t="s">
        <v>84</v>
      </c>
      <c r="J20" s="34" t="s">
        <v>17623</v>
      </c>
      <c r="K20" s="35"/>
      <c r="L20" s="34" t="s">
        <v>17624</v>
      </c>
      <c r="M20" s="35" t="s">
        <v>17602</v>
      </c>
      <c r="N20" s="34" t="s">
        <v>7340</v>
      </c>
      <c r="O20" s="35" t="s">
        <v>164</v>
      </c>
      <c r="P20" s="35" t="s">
        <v>2017</v>
      </c>
    </row>
    <row r="21" spans="1:17" ht="13.2" customHeight="1" x14ac:dyDescent="0.25">
      <c r="A21" s="33">
        <v>19</v>
      </c>
      <c r="B21" s="34" t="s">
        <v>17625</v>
      </c>
      <c r="C21" s="35"/>
      <c r="D21" s="34" t="s">
        <v>17602</v>
      </c>
      <c r="E21" s="34" t="s">
        <v>17615</v>
      </c>
      <c r="F21" s="34" t="s">
        <v>17616</v>
      </c>
      <c r="G21" s="34" t="s">
        <v>17603</v>
      </c>
      <c r="H21" s="34" t="s">
        <v>17604</v>
      </c>
      <c r="I21" s="33" t="s">
        <v>84</v>
      </c>
      <c r="J21" s="34" t="s">
        <v>17626</v>
      </c>
      <c r="K21" s="35"/>
      <c r="L21" s="34" t="s">
        <v>17624</v>
      </c>
      <c r="M21" s="35" t="s">
        <v>17602</v>
      </c>
      <c r="N21" s="34" t="s">
        <v>7340</v>
      </c>
      <c r="O21" s="35" t="s">
        <v>164</v>
      </c>
      <c r="P21" s="35" t="s">
        <v>2017</v>
      </c>
    </row>
    <row r="22" spans="1:17" ht="13.2" customHeight="1" x14ac:dyDescent="0.25">
      <c r="A22" s="33">
        <v>20</v>
      </c>
      <c r="B22" s="34" t="s">
        <v>17627</v>
      </c>
      <c r="C22" s="35"/>
      <c r="D22" s="34" t="s">
        <v>17602</v>
      </c>
      <c r="E22" s="34" t="s">
        <v>17604</v>
      </c>
      <c r="F22" s="34" t="s">
        <v>17605</v>
      </c>
      <c r="G22" s="34" t="s">
        <v>17606</v>
      </c>
      <c r="H22" s="34" t="s">
        <v>17609</v>
      </c>
      <c r="I22" s="33" t="s">
        <v>84</v>
      </c>
      <c r="J22" s="34" t="s">
        <v>17628</v>
      </c>
      <c r="K22" s="35"/>
      <c r="L22" s="34" t="s">
        <v>17553</v>
      </c>
      <c r="M22" s="35" t="s">
        <v>17602</v>
      </c>
      <c r="N22" s="34" t="s">
        <v>17629</v>
      </c>
      <c r="O22" s="35" t="s">
        <v>164</v>
      </c>
      <c r="P22" s="35" t="s">
        <v>2017</v>
      </c>
    </row>
    <row r="23" spans="1:17" ht="13.2" customHeight="1" x14ac:dyDescent="0.25">
      <c r="A23" s="33">
        <v>21</v>
      </c>
      <c r="B23" s="34" t="s">
        <v>17593</v>
      </c>
      <c r="C23" s="35"/>
      <c r="D23" s="34" t="s">
        <v>17602</v>
      </c>
      <c r="E23" s="34" t="s">
        <v>17609</v>
      </c>
      <c r="F23" s="34" t="s">
        <v>17610</v>
      </c>
      <c r="G23" s="34" t="s">
        <v>17611</v>
      </c>
      <c r="H23" s="34" t="s">
        <v>17614</v>
      </c>
      <c r="I23" s="33" t="s">
        <v>84</v>
      </c>
      <c r="J23" s="34" t="s">
        <v>17630</v>
      </c>
      <c r="K23" s="35"/>
      <c r="L23" s="34" t="s">
        <v>17553</v>
      </c>
      <c r="M23" s="35" t="s">
        <v>17602</v>
      </c>
      <c r="N23" s="34" t="s">
        <v>4814</v>
      </c>
      <c r="O23" s="35" t="s">
        <v>164</v>
      </c>
      <c r="P23" s="35" t="s">
        <v>2017</v>
      </c>
    </row>
    <row r="24" spans="1:17" ht="13.2" customHeight="1" x14ac:dyDescent="0.25">
      <c r="A24" s="33">
        <v>22</v>
      </c>
      <c r="B24" s="34" t="s">
        <v>17631</v>
      </c>
      <c r="C24" s="35"/>
      <c r="D24" s="34" t="s">
        <v>2230</v>
      </c>
      <c r="E24" s="34" t="s">
        <v>10288</v>
      </c>
      <c r="F24" s="34" t="s">
        <v>3301</v>
      </c>
      <c r="G24" s="34" t="s">
        <v>15184</v>
      </c>
      <c r="H24" s="34" t="s">
        <v>16143</v>
      </c>
      <c r="I24" s="33" t="s">
        <v>96</v>
      </c>
      <c r="J24" s="34" t="s">
        <v>17632</v>
      </c>
      <c r="K24" s="35"/>
      <c r="L24" s="34" t="s">
        <v>17633</v>
      </c>
      <c r="M24" s="35" t="s">
        <v>9</v>
      </c>
      <c r="N24" s="34" t="s">
        <v>17634</v>
      </c>
      <c r="O24" s="35" t="s">
        <v>14199</v>
      </c>
      <c r="P24" s="33" t="s">
        <v>316</v>
      </c>
      <c r="Q24" s="2"/>
    </row>
    <row r="25" spans="1:17" ht="13.2" customHeight="1" x14ac:dyDescent="0.25">
      <c r="A25" s="33">
        <v>23</v>
      </c>
      <c r="B25" s="34" t="s">
        <v>17635</v>
      </c>
      <c r="C25" s="35"/>
      <c r="D25" s="34" t="s">
        <v>17602</v>
      </c>
      <c r="E25" s="34" t="s">
        <v>17603</v>
      </c>
      <c r="F25" s="34" t="s">
        <v>17604</v>
      </c>
      <c r="G25" s="34" t="s">
        <v>17605</v>
      </c>
      <c r="H25" s="34" t="s">
        <v>17606</v>
      </c>
      <c r="I25" s="33" t="s">
        <v>84</v>
      </c>
      <c r="J25" s="34" t="s">
        <v>17636</v>
      </c>
      <c r="K25" s="35"/>
      <c r="L25" s="34" t="s">
        <v>8262</v>
      </c>
      <c r="M25" s="35" t="s">
        <v>17602</v>
      </c>
      <c r="N25" s="34" t="s">
        <v>8762</v>
      </c>
      <c r="O25" s="35" t="s">
        <v>164</v>
      </c>
      <c r="P25" s="35" t="s">
        <v>2109</v>
      </c>
    </row>
    <row r="26" spans="1:17" ht="13.2" customHeight="1" x14ac:dyDescent="0.25">
      <c r="A26" s="33">
        <v>24</v>
      </c>
      <c r="B26" s="34" t="s">
        <v>17637</v>
      </c>
      <c r="C26" s="35"/>
      <c r="D26" s="34" t="s">
        <v>17602</v>
      </c>
      <c r="E26" s="34" t="s">
        <v>17606</v>
      </c>
      <c r="F26" s="34" t="s">
        <v>17609</v>
      </c>
      <c r="G26" s="34" t="s">
        <v>17610</v>
      </c>
      <c r="H26" s="34" t="s">
        <v>17611</v>
      </c>
      <c r="I26" s="33" t="s">
        <v>84</v>
      </c>
      <c r="J26" s="34" t="s">
        <v>17638</v>
      </c>
      <c r="K26" s="35"/>
      <c r="L26" s="34" t="s">
        <v>17639</v>
      </c>
      <c r="M26" s="35" t="s">
        <v>17602</v>
      </c>
      <c r="N26" s="34" t="s">
        <v>17640</v>
      </c>
      <c r="O26" s="35" t="s">
        <v>164</v>
      </c>
      <c r="P26" s="35" t="s">
        <v>2109</v>
      </c>
    </row>
    <row r="27" spans="1:17" ht="13.2" customHeight="1" x14ac:dyDescent="0.25">
      <c r="A27" s="33">
        <v>25</v>
      </c>
      <c r="B27" s="34" t="s">
        <v>17641</v>
      </c>
      <c r="C27" s="35"/>
      <c r="D27" s="34" t="s">
        <v>17602</v>
      </c>
      <c r="E27" s="34" t="s">
        <v>17642</v>
      </c>
      <c r="F27" s="34" t="s">
        <v>17643</v>
      </c>
      <c r="G27" s="34" t="s">
        <v>14762</v>
      </c>
      <c r="H27" s="34" t="s">
        <v>14763</v>
      </c>
      <c r="I27" s="33" t="s">
        <v>84</v>
      </c>
      <c r="J27" s="34" t="s">
        <v>17644</v>
      </c>
      <c r="K27" s="35"/>
      <c r="L27" s="34" t="s">
        <v>17639</v>
      </c>
      <c r="M27" s="35" t="s">
        <v>17602</v>
      </c>
      <c r="N27" s="34" t="s">
        <v>17645</v>
      </c>
      <c r="O27" s="35" t="s">
        <v>164</v>
      </c>
      <c r="P27" s="35" t="s">
        <v>2109</v>
      </c>
      <c r="Q27" s="2"/>
    </row>
    <row r="28" spans="1:17" ht="13.2" customHeight="1" x14ac:dyDescent="0.25">
      <c r="A28" s="33">
        <v>26</v>
      </c>
      <c r="B28" s="34" t="s">
        <v>17646</v>
      </c>
      <c r="C28" s="35"/>
      <c r="D28" s="34" t="s">
        <v>17647</v>
      </c>
      <c r="E28" s="34" t="s">
        <v>17648</v>
      </c>
      <c r="F28" s="34" t="s">
        <v>14201</v>
      </c>
      <c r="G28" s="34" t="s">
        <v>14418</v>
      </c>
      <c r="H28" s="34" t="s">
        <v>17649</v>
      </c>
      <c r="I28" s="33" t="s">
        <v>90</v>
      </c>
      <c r="J28" s="34" t="s">
        <v>17650</v>
      </c>
      <c r="K28" s="35"/>
      <c r="L28" s="34" t="s">
        <v>17651</v>
      </c>
      <c r="M28" s="35" t="s">
        <v>9</v>
      </c>
      <c r="N28" s="34" t="s">
        <v>17652</v>
      </c>
      <c r="O28" s="35" t="s">
        <v>14199</v>
      </c>
      <c r="P28" s="33" t="s">
        <v>316</v>
      </c>
      <c r="Q28" s="2"/>
    </row>
    <row r="29" spans="1:17" ht="13.2" customHeight="1" x14ac:dyDescent="0.25">
      <c r="A29" s="33">
        <v>27</v>
      </c>
      <c r="B29" s="34" t="s">
        <v>17653</v>
      </c>
      <c r="C29" s="35"/>
      <c r="D29" s="34" t="s">
        <v>13881</v>
      </c>
      <c r="E29" s="34" t="s">
        <v>13882</v>
      </c>
      <c r="F29" s="34" t="s">
        <v>13883</v>
      </c>
      <c r="G29" s="34" t="s">
        <v>13884</v>
      </c>
      <c r="H29" s="34" t="s">
        <v>17654</v>
      </c>
      <c r="I29" s="33" t="s">
        <v>96</v>
      </c>
      <c r="J29" s="34" t="s">
        <v>17655</v>
      </c>
      <c r="K29" s="35"/>
      <c r="L29" s="34" t="s">
        <v>17656</v>
      </c>
      <c r="M29" s="35" t="s">
        <v>9</v>
      </c>
      <c r="N29" s="34" t="s">
        <v>17657</v>
      </c>
      <c r="O29" s="35" t="s">
        <v>14199</v>
      </c>
      <c r="P29" s="33" t="s">
        <v>316</v>
      </c>
      <c r="Q29" s="2"/>
    </row>
    <row r="30" spans="1:17" ht="13.2" customHeight="1" x14ac:dyDescent="0.25">
      <c r="A30" s="33">
        <v>28</v>
      </c>
      <c r="B30" s="34" t="s">
        <v>17658</v>
      </c>
      <c r="C30" s="35"/>
      <c r="D30" s="34" t="s">
        <v>17659</v>
      </c>
      <c r="E30" s="34" t="s">
        <v>17660</v>
      </c>
      <c r="F30" s="34" t="s">
        <v>17661</v>
      </c>
      <c r="G30" s="34" t="s">
        <v>17662</v>
      </c>
      <c r="H30" s="34" t="s">
        <v>17663</v>
      </c>
      <c r="I30" s="33" t="s">
        <v>90</v>
      </c>
      <c r="J30" s="34" t="s">
        <v>17664</v>
      </c>
      <c r="K30" s="35"/>
      <c r="L30" s="34" t="s">
        <v>17665</v>
      </c>
      <c r="M30" s="35" t="s">
        <v>9</v>
      </c>
      <c r="N30" s="34" t="s">
        <v>17666</v>
      </c>
      <c r="O30" s="35" t="s">
        <v>14199</v>
      </c>
      <c r="P30" s="33" t="s">
        <v>316</v>
      </c>
      <c r="Q30" s="2"/>
    </row>
    <row r="31" spans="1:17" ht="13.2" customHeight="1" x14ac:dyDescent="0.25">
      <c r="A31" s="33">
        <v>29</v>
      </c>
      <c r="B31" s="34" t="s">
        <v>17667</v>
      </c>
      <c r="C31" s="35"/>
      <c r="D31" s="34" t="s">
        <v>17602</v>
      </c>
      <c r="E31" s="34" t="s">
        <v>17615</v>
      </c>
      <c r="F31" s="34" t="s">
        <v>17616</v>
      </c>
      <c r="G31" s="34" t="s">
        <v>17603</v>
      </c>
      <c r="H31" s="34" t="s">
        <v>17604</v>
      </c>
      <c r="I31" s="33" t="s">
        <v>84</v>
      </c>
      <c r="J31" s="34" t="s">
        <v>17668</v>
      </c>
      <c r="K31" s="35"/>
      <c r="L31" s="34" t="s">
        <v>17523</v>
      </c>
      <c r="M31" s="35" t="s">
        <v>17602</v>
      </c>
      <c r="N31" s="34" t="s">
        <v>17669</v>
      </c>
      <c r="O31" s="35" t="s">
        <v>164</v>
      </c>
      <c r="P31" s="35" t="s">
        <v>2155</v>
      </c>
    </row>
    <row r="32" spans="1:17" ht="13.2" customHeight="1" x14ac:dyDescent="0.25">
      <c r="A32" s="33">
        <v>30</v>
      </c>
      <c r="B32" s="34" t="s">
        <v>17670</v>
      </c>
      <c r="C32" s="35"/>
      <c r="D32" s="34" t="s">
        <v>17602</v>
      </c>
      <c r="E32" s="34" t="s">
        <v>17604</v>
      </c>
      <c r="F32" s="34" t="s">
        <v>17605</v>
      </c>
      <c r="G32" s="34" t="s">
        <v>17606</v>
      </c>
      <c r="H32" s="34" t="s">
        <v>17609</v>
      </c>
      <c r="I32" s="33" t="s">
        <v>84</v>
      </c>
      <c r="J32" s="34" t="s">
        <v>17628</v>
      </c>
      <c r="K32" s="35"/>
      <c r="L32" s="34" t="s">
        <v>17553</v>
      </c>
      <c r="M32" s="35" t="s">
        <v>17602</v>
      </c>
      <c r="N32" s="34" t="s">
        <v>17671</v>
      </c>
      <c r="O32" s="35" t="s">
        <v>164</v>
      </c>
      <c r="P32" s="35" t="s">
        <v>2155</v>
      </c>
    </row>
    <row r="33" spans="1:16" ht="13.2" customHeight="1" x14ac:dyDescent="0.25">
      <c r="A33" s="33">
        <v>31</v>
      </c>
      <c r="B33" s="34" t="s">
        <v>17672</v>
      </c>
      <c r="C33" s="35"/>
      <c r="D33" s="34" t="s">
        <v>17602</v>
      </c>
      <c r="E33" s="34" t="s">
        <v>17609</v>
      </c>
      <c r="F33" s="34" t="s">
        <v>17610</v>
      </c>
      <c r="G33" s="34" t="s">
        <v>17611</v>
      </c>
      <c r="H33" s="34" t="s">
        <v>17614</v>
      </c>
      <c r="I33" s="33" t="s">
        <v>84</v>
      </c>
      <c r="J33" s="34" t="s">
        <v>17673</v>
      </c>
      <c r="K33" s="35"/>
      <c r="L33" s="34" t="s">
        <v>17523</v>
      </c>
      <c r="M33" s="35" t="s">
        <v>17602</v>
      </c>
      <c r="N33" s="34" t="s">
        <v>17674</v>
      </c>
      <c r="O33" s="35" t="s">
        <v>164</v>
      </c>
      <c r="P33" s="35" t="s">
        <v>2155</v>
      </c>
    </row>
    <row r="34" spans="1:16" ht="13.2" customHeight="1" x14ac:dyDescent="0.25">
      <c r="A34" s="33">
        <v>32</v>
      </c>
      <c r="B34" s="34" t="s">
        <v>17675</v>
      </c>
      <c r="C34" s="35"/>
      <c r="D34" s="34" t="s">
        <v>17602</v>
      </c>
      <c r="E34" s="34" t="s">
        <v>17614</v>
      </c>
      <c r="F34" s="34" t="s">
        <v>17615</v>
      </c>
      <c r="G34" s="34" t="s">
        <v>17616</v>
      </c>
      <c r="H34" s="34" t="s">
        <v>17603</v>
      </c>
      <c r="I34" s="33" t="s">
        <v>84</v>
      </c>
      <c r="J34" s="34" t="s">
        <v>17676</v>
      </c>
      <c r="K34" s="35"/>
      <c r="L34" s="34" t="s">
        <v>8262</v>
      </c>
      <c r="M34" s="35" t="s">
        <v>17602</v>
      </c>
      <c r="N34" s="34" t="s">
        <v>17677</v>
      </c>
      <c r="O34" s="35" t="s">
        <v>164</v>
      </c>
      <c r="P34" s="35" t="s">
        <v>2155</v>
      </c>
    </row>
    <row r="35" spans="1:16" ht="13.2" customHeight="1" x14ac:dyDescent="0.25">
      <c r="A35" s="33">
        <v>33</v>
      </c>
      <c r="B35" s="34" t="s">
        <v>17678</v>
      </c>
      <c r="C35" s="35"/>
      <c r="D35" s="34" t="s">
        <v>17602</v>
      </c>
      <c r="E35" s="34" t="s">
        <v>17603</v>
      </c>
      <c r="F35" s="34" t="s">
        <v>17604</v>
      </c>
      <c r="G35" s="34" t="s">
        <v>17605</v>
      </c>
      <c r="H35" s="34" t="s">
        <v>17606</v>
      </c>
      <c r="I35" s="33" t="s">
        <v>84</v>
      </c>
      <c r="J35" s="34" t="s">
        <v>17679</v>
      </c>
      <c r="K35" s="35"/>
      <c r="L35" s="34" t="s">
        <v>8262</v>
      </c>
      <c r="M35" s="35" t="s">
        <v>17602</v>
      </c>
      <c r="N35" s="34" t="s">
        <v>13207</v>
      </c>
      <c r="O35" s="35" t="s">
        <v>164</v>
      </c>
      <c r="P35" s="35" t="s">
        <v>2155</v>
      </c>
    </row>
    <row r="36" spans="1:16" ht="13.2" customHeight="1" x14ac:dyDescent="0.25">
      <c r="A36" s="33">
        <v>34</v>
      </c>
      <c r="B36" s="34" t="s">
        <v>17680</v>
      </c>
      <c r="C36" s="35"/>
      <c r="D36" s="34" t="s">
        <v>17602</v>
      </c>
      <c r="E36" s="34" t="s">
        <v>17681</v>
      </c>
      <c r="F36" s="34" t="s">
        <v>17682</v>
      </c>
      <c r="G36" s="34" t="s">
        <v>17683</v>
      </c>
      <c r="H36" s="34" t="s">
        <v>17611</v>
      </c>
      <c r="I36" s="33" t="s">
        <v>84</v>
      </c>
      <c r="J36" s="34" t="s">
        <v>17684</v>
      </c>
      <c r="K36" s="35"/>
      <c r="L36" s="34" t="s">
        <v>17553</v>
      </c>
      <c r="M36" s="35" t="s">
        <v>17602</v>
      </c>
      <c r="N36" s="34" t="s">
        <v>17685</v>
      </c>
      <c r="O36" s="35" t="s">
        <v>164</v>
      </c>
      <c r="P36" s="35" t="s">
        <v>3354</v>
      </c>
    </row>
    <row r="37" spans="1:16" ht="13.2" customHeight="1" x14ac:dyDescent="0.25">
      <c r="A37" s="33">
        <v>35</v>
      </c>
      <c r="B37" s="34" t="s">
        <v>17686</v>
      </c>
      <c r="C37" s="35"/>
      <c r="D37" s="34" t="s">
        <v>17602</v>
      </c>
      <c r="E37" s="34" t="s">
        <v>17681</v>
      </c>
      <c r="F37" s="34" t="s">
        <v>17682</v>
      </c>
      <c r="G37" s="34" t="s">
        <v>17687</v>
      </c>
      <c r="H37" s="34" t="s">
        <v>17616</v>
      </c>
      <c r="I37" s="33" t="s">
        <v>84</v>
      </c>
      <c r="J37" s="34" t="s">
        <v>17688</v>
      </c>
      <c r="K37" s="35"/>
      <c r="L37" s="34" t="s">
        <v>17553</v>
      </c>
      <c r="M37" s="35" t="s">
        <v>17602</v>
      </c>
      <c r="N37" s="34" t="s">
        <v>17689</v>
      </c>
      <c r="O37" s="35" t="s">
        <v>164</v>
      </c>
      <c r="P37" s="35" t="s">
        <v>3354</v>
      </c>
    </row>
    <row r="38" spans="1:16" ht="13.2" customHeight="1" x14ac:dyDescent="0.25">
      <c r="A38" s="35">
        <v>36</v>
      </c>
      <c r="B38" s="34" t="s">
        <v>17690</v>
      </c>
      <c r="C38" s="35"/>
      <c r="D38" s="34" t="s">
        <v>17691</v>
      </c>
      <c r="E38" s="34" t="s">
        <v>17692</v>
      </c>
      <c r="F38" s="34" t="s">
        <v>17693</v>
      </c>
      <c r="G38" s="34" t="s">
        <v>17694</v>
      </c>
      <c r="H38" s="34" t="s">
        <v>17695</v>
      </c>
      <c r="I38" s="35">
        <v>1</v>
      </c>
      <c r="J38" s="34" t="s">
        <v>17696</v>
      </c>
      <c r="K38" s="35"/>
      <c r="L38" s="34" t="s">
        <v>8262</v>
      </c>
      <c r="M38" s="35" t="s">
        <v>9</v>
      </c>
      <c r="N38" s="34" t="s">
        <v>10372</v>
      </c>
      <c r="O38" s="35" t="s">
        <v>164</v>
      </c>
      <c r="P38" s="35" t="s">
        <v>2206</v>
      </c>
    </row>
    <row r="39" spans="1:16" ht="13.2" customHeight="1" x14ac:dyDescent="0.25">
      <c r="A39" s="35">
        <v>37</v>
      </c>
      <c r="B39" s="34" t="s">
        <v>17697</v>
      </c>
      <c r="C39" s="35"/>
      <c r="D39" s="34" t="s">
        <v>17698</v>
      </c>
      <c r="E39" s="34" t="s">
        <v>17699</v>
      </c>
      <c r="F39" s="34" t="s">
        <v>17700</v>
      </c>
      <c r="G39" s="34" t="s">
        <v>17701</v>
      </c>
      <c r="H39" s="34" t="s">
        <v>17702</v>
      </c>
      <c r="I39" s="35">
        <v>1</v>
      </c>
      <c r="J39" s="34" t="s">
        <v>17703</v>
      </c>
      <c r="K39" s="35"/>
      <c r="L39" s="34" t="s">
        <v>8262</v>
      </c>
      <c r="M39" s="35" t="s">
        <v>9</v>
      </c>
      <c r="N39" s="34" t="s">
        <v>17704</v>
      </c>
      <c r="O39" s="35" t="s">
        <v>164</v>
      </c>
      <c r="P39" s="35" t="s">
        <v>2206</v>
      </c>
    </row>
    <row r="40" spans="1:16" ht="13.2" customHeight="1" x14ac:dyDescent="0.25">
      <c r="A40" s="35">
        <v>38</v>
      </c>
      <c r="B40" s="34" t="s">
        <v>17705</v>
      </c>
      <c r="C40" s="35"/>
      <c r="D40" s="34" t="s">
        <v>17706</v>
      </c>
      <c r="E40" s="34" t="s">
        <v>17707</v>
      </c>
      <c r="F40" s="34" t="s">
        <v>17708</v>
      </c>
      <c r="G40" s="34" t="s">
        <v>17709</v>
      </c>
      <c r="H40" s="34" t="s">
        <v>17710</v>
      </c>
      <c r="I40" s="35">
        <v>1</v>
      </c>
      <c r="J40" s="34" t="s">
        <v>17711</v>
      </c>
      <c r="K40" s="35"/>
      <c r="L40" s="34" t="s">
        <v>8262</v>
      </c>
      <c r="M40" s="35" t="s">
        <v>9</v>
      </c>
      <c r="N40" s="34" t="s">
        <v>17712</v>
      </c>
      <c r="O40" s="35" t="s">
        <v>164</v>
      </c>
      <c r="P40" s="35" t="s">
        <v>2206</v>
      </c>
    </row>
    <row r="41" spans="1:16" ht="13.2" customHeight="1" x14ac:dyDescent="0.25">
      <c r="A41" s="35">
        <v>39</v>
      </c>
      <c r="B41" s="34" t="s">
        <v>17713</v>
      </c>
      <c r="C41" s="35"/>
      <c r="D41" s="34" t="s">
        <v>17714</v>
      </c>
      <c r="E41" s="34" t="s">
        <v>17715</v>
      </c>
      <c r="F41" s="34" t="s">
        <v>17716</v>
      </c>
      <c r="G41" s="34" t="s">
        <v>17717</v>
      </c>
      <c r="H41" s="34" t="s">
        <v>17718</v>
      </c>
      <c r="I41" s="35">
        <v>1</v>
      </c>
      <c r="J41" s="34" t="s">
        <v>17719</v>
      </c>
      <c r="K41" s="35"/>
      <c r="L41" s="34" t="s">
        <v>17553</v>
      </c>
      <c r="M41" s="35" t="s">
        <v>9</v>
      </c>
      <c r="N41" s="34" t="s">
        <v>17720</v>
      </c>
      <c r="O41" s="35" t="s">
        <v>164</v>
      </c>
      <c r="P41" s="35" t="s">
        <v>2271</v>
      </c>
    </row>
    <row r="42" spans="1:16" ht="13.2" customHeight="1" x14ac:dyDescent="0.25">
      <c r="A42" s="35">
        <v>40</v>
      </c>
      <c r="B42" s="34" t="s">
        <v>17721</v>
      </c>
      <c r="C42" s="35"/>
      <c r="D42" s="34" t="s">
        <v>17603</v>
      </c>
      <c r="E42" s="34" t="s">
        <v>17604</v>
      </c>
      <c r="F42" s="34" t="s">
        <v>17605</v>
      </c>
      <c r="G42" s="34" t="s">
        <v>17606</v>
      </c>
      <c r="H42" s="34" t="s">
        <v>17609</v>
      </c>
      <c r="I42" s="35">
        <v>1</v>
      </c>
      <c r="J42" s="34" t="s">
        <v>17722</v>
      </c>
      <c r="K42" s="35"/>
      <c r="L42" s="34" t="s">
        <v>8262</v>
      </c>
      <c r="M42" s="35" t="s">
        <v>9</v>
      </c>
      <c r="N42" s="34" t="s">
        <v>17723</v>
      </c>
      <c r="O42" s="35" t="s">
        <v>164</v>
      </c>
      <c r="P42" s="35" t="s">
        <v>2271</v>
      </c>
    </row>
    <row r="43" spans="1:16" ht="13.2" customHeight="1" x14ac:dyDescent="0.25">
      <c r="A43" s="35">
        <v>41</v>
      </c>
      <c r="B43" s="34" t="s">
        <v>17724</v>
      </c>
      <c r="C43" s="35"/>
      <c r="D43" s="34" t="s">
        <v>14817</v>
      </c>
      <c r="E43" s="34" t="s">
        <v>14818</v>
      </c>
      <c r="F43" s="34" t="s">
        <v>14820</v>
      </c>
      <c r="G43" s="34" t="s">
        <v>14958</v>
      </c>
      <c r="H43" s="34" t="s">
        <v>17725</v>
      </c>
      <c r="I43" s="35">
        <v>1</v>
      </c>
      <c r="J43" s="34" t="s">
        <v>17726</v>
      </c>
      <c r="K43" s="35"/>
      <c r="L43" s="34" t="s">
        <v>17523</v>
      </c>
      <c r="M43" s="35" t="s">
        <v>9</v>
      </c>
      <c r="N43" s="34" t="s">
        <v>17727</v>
      </c>
      <c r="O43" s="35" t="s">
        <v>164</v>
      </c>
      <c r="P43" s="35" t="s">
        <v>2271</v>
      </c>
    </row>
    <row r="44" spans="1:16" ht="13.2" customHeight="1" x14ac:dyDescent="0.25">
      <c r="A44" s="35">
        <v>42</v>
      </c>
      <c r="B44" s="34" t="s">
        <v>17728</v>
      </c>
      <c r="C44" s="35"/>
      <c r="D44" s="34" t="s">
        <v>17729</v>
      </c>
      <c r="E44" s="34" t="s">
        <v>12335</v>
      </c>
      <c r="F44" s="34" t="s">
        <v>17730</v>
      </c>
      <c r="G44" s="34" t="s">
        <v>12337</v>
      </c>
      <c r="H44" s="34" t="s">
        <v>12336</v>
      </c>
      <c r="I44" s="35">
        <v>1</v>
      </c>
      <c r="J44" s="34" t="s">
        <v>17731</v>
      </c>
      <c r="K44" s="35"/>
      <c r="L44" s="34" t="s">
        <v>17523</v>
      </c>
      <c r="M44" s="35" t="s">
        <v>9</v>
      </c>
      <c r="N44" s="34" t="s">
        <v>17732</v>
      </c>
      <c r="O44" s="35" t="s">
        <v>164</v>
      </c>
      <c r="P44" s="35" t="s">
        <v>2271</v>
      </c>
    </row>
    <row r="45" spans="1:16" ht="13.2" customHeight="1" x14ac:dyDescent="0.25">
      <c r="A45" s="35">
        <v>43</v>
      </c>
      <c r="B45" s="34" t="s">
        <v>17733</v>
      </c>
      <c r="C45" s="35"/>
      <c r="D45" s="34" t="s">
        <v>17734</v>
      </c>
      <c r="E45" s="34" t="s">
        <v>17735</v>
      </c>
      <c r="F45" s="34" t="s">
        <v>17736</v>
      </c>
      <c r="G45" s="34" t="s">
        <v>17737</v>
      </c>
      <c r="H45" s="34" t="s">
        <v>17738</v>
      </c>
      <c r="I45" s="35">
        <v>1</v>
      </c>
      <c r="J45" s="34" t="s">
        <v>17739</v>
      </c>
      <c r="K45" s="35"/>
      <c r="L45" s="34" t="s">
        <v>17553</v>
      </c>
      <c r="M45" s="35" t="s">
        <v>9</v>
      </c>
      <c r="N45" s="34" t="s">
        <v>2236</v>
      </c>
      <c r="O45" s="35" t="s">
        <v>164</v>
      </c>
      <c r="P45" s="35" t="s">
        <v>2317</v>
      </c>
    </row>
    <row r="46" spans="1:16" ht="13.2" customHeight="1" x14ac:dyDescent="0.25">
      <c r="A46" s="35">
        <v>44</v>
      </c>
      <c r="B46" s="34" t="s">
        <v>17740</v>
      </c>
      <c r="C46" s="35"/>
      <c r="D46" s="34" t="s">
        <v>17741</v>
      </c>
      <c r="E46" s="34" t="s">
        <v>17742</v>
      </c>
      <c r="F46" s="34" t="s">
        <v>17743</v>
      </c>
      <c r="G46" s="34" t="s">
        <v>17344</v>
      </c>
      <c r="H46" s="34" t="s">
        <v>17744</v>
      </c>
      <c r="I46" s="35">
        <v>1</v>
      </c>
      <c r="J46" s="34" t="s">
        <v>17745</v>
      </c>
      <c r="K46" s="35"/>
      <c r="L46" s="34" t="s">
        <v>17553</v>
      </c>
      <c r="M46" s="35" t="s">
        <v>9</v>
      </c>
      <c r="N46" s="34" t="s">
        <v>6134</v>
      </c>
      <c r="O46" s="35" t="s">
        <v>164</v>
      </c>
      <c r="P46" s="35" t="s">
        <v>2317</v>
      </c>
    </row>
    <row r="47" spans="1:16" ht="13.2" customHeight="1" x14ac:dyDescent="0.25">
      <c r="A47" s="35">
        <v>45</v>
      </c>
      <c r="B47" s="34" t="s">
        <v>17746</v>
      </c>
      <c r="C47" s="35"/>
      <c r="D47" s="34" t="s">
        <v>8964</v>
      </c>
      <c r="E47" s="34" t="s">
        <v>3185</v>
      </c>
      <c r="F47" s="34" t="s">
        <v>3524</v>
      </c>
      <c r="G47" s="34" t="s">
        <v>3181</v>
      </c>
      <c r="H47" s="34" t="s">
        <v>17747</v>
      </c>
      <c r="I47" s="35">
        <v>1</v>
      </c>
      <c r="J47" s="34" t="s">
        <v>17748</v>
      </c>
      <c r="K47" s="35"/>
      <c r="L47" s="34" t="s">
        <v>17553</v>
      </c>
      <c r="M47" s="35" t="s">
        <v>9</v>
      </c>
      <c r="N47" s="34" t="s">
        <v>17749</v>
      </c>
      <c r="O47" s="35" t="s">
        <v>164</v>
      </c>
      <c r="P47" s="35" t="s">
        <v>2317</v>
      </c>
    </row>
    <row r="48" spans="1:16" ht="13.2" customHeight="1" x14ac:dyDescent="0.25">
      <c r="A48" s="35">
        <v>46</v>
      </c>
      <c r="B48" s="34" t="s">
        <v>17750</v>
      </c>
      <c r="C48" s="35"/>
      <c r="D48" s="34" t="s">
        <v>17615</v>
      </c>
      <c r="E48" s="34" t="s">
        <v>17616</v>
      </c>
      <c r="F48" s="34" t="s">
        <v>17603</v>
      </c>
      <c r="G48" s="34" t="s">
        <v>17604</v>
      </c>
      <c r="H48" s="34" t="s">
        <v>17605</v>
      </c>
      <c r="I48" s="35">
        <v>1</v>
      </c>
      <c r="J48" s="34" t="s">
        <v>17751</v>
      </c>
      <c r="K48" s="35"/>
      <c r="L48" s="34" t="s">
        <v>17553</v>
      </c>
      <c r="M48" s="35" t="s">
        <v>9</v>
      </c>
      <c r="N48" s="34" t="s">
        <v>16750</v>
      </c>
      <c r="O48" s="35" t="s">
        <v>164</v>
      </c>
      <c r="P48" s="35" t="s">
        <v>2317</v>
      </c>
    </row>
    <row r="49" spans="1:16" ht="13.2" customHeight="1" x14ac:dyDescent="0.25">
      <c r="A49" s="35">
        <v>47</v>
      </c>
      <c r="B49" s="34" t="s">
        <v>17752</v>
      </c>
      <c r="C49" s="35"/>
      <c r="D49" s="34" t="s">
        <v>17753</v>
      </c>
      <c r="E49" s="34" t="s">
        <v>17754</v>
      </c>
      <c r="F49" s="34" t="s">
        <v>17755</v>
      </c>
      <c r="G49" s="34" t="s">
        <v>17756</v>
      </c>
      <c r="H49" s="34" t="s">
        <v>17757</v>
      </c>
      <c r="I49" s="35">
        <v>1</v>
      </c>
      <c r="J49" s="34" t="s">
        <v>17758</v>
      </c>
      <c r="K49" s="35"/>
      <c r="L49" s="34" t="s">
        <v>17553</v>
      </c>
      <c r="M49" s="35" t="s">
        <v>9</v>
      </c>
      <c r="N49" s="34" t="s">
        <v>17759</v>
      </c>
      <c r="O49" s="35" t="s">
        <v>164</v>
      </c>
      <c r="P49" s="35" t="s">
        <v>2436</v>
      </c>
    </row>
    <row r="50" spans="1:16" ht="13.2" customHeight="1" x14ac:dyDescent="0.25">
      <c r="A50" s="35">
        <v>48</v>
      </c>
      <c r="B50" s="34" t="s">
        <v>17760</v>
      </c>
      <c r="C50" s="35"/>
      <c r="D50" s="34" t="s">
        <v>4018</v>
      </c>
      <c r="E50" s="34" t="s">
        <v>3010</v>
      </c>
      <c r="F50" s="34" t="s">
        <v>3317</v>
      </c>
      <c r="G50" s="34" t="s">
        <v>4044</v>
      </c>
      <c r="H50" s="34" t="s">
        <v>17761</v>
      </c>
      <c r="I50" s="35">
        <v>1</v>
      </c>
      <c r="J50" s="34" t="s">
        <v>17762</v>
      </c>
      <c r="K50" s="35"/>
      <c r="L50" s="34" t="s">
        <v>17553</v>
      </c>
      <c r="M50" s="35" t="s">
        <v>9</v>
      </c>
      <c r="N50" s="34" t="s">
        <v>17763</v>
      </c>
      <c r="O50" s="35" t="s">
        <v>816</v>
      </c>
      <c r="P50" s="35" t="s">
        <v>2629</v>
      </c>
    </row>
    <row r="51" spans="1:16" ht="13.2" customHeight="1" x14ac:dyDescent="0.25">
      <c r="A51" s="35">
        <v>49</v>
      </c>
      <c r="B51" s="34" t="s">
        <v>17764</v>
      </c>
      <c r="C51" s="35"/>
      <c r="D51" s="34" t="s">
        <v>17765</v>
      </c>
      <c r="E51" s="34" t="s">
        <v>17766</v>
      </c>
      <c r="F51" s="34" t="s">
        <v>17624</v>
      </c>
      <c r="G51" s="34" t="s">
        <v>17639</v>
      </c>
      <c r="H51" s="34" t="s">
        <v>14921</v>
      </c>
      <c r="I51" s="35">
        <v>1</v>
      </c>
      <c r="J51" s="34" t="s">
        <v>17767</v>
      </c>
      <c r="K51" s="35"/>
      <c r="L51" s="34" t="s">
        <v>17523</v>
      </c>
      <c r="M51" s="35" t="s">
        <v>9</v>
      </c>
      <c r="N51" s="34" t="s">
        <v>17768</v>
      </c>
      <c r="O51" s="35" t="s">
        <v>816</v>
      </c>
      <c r="P51" s="35" t="s">
        <v>2629</v>
      </c>
    </row>
    <row r="52" spans="1:16" ht="13.2" customHeight="1" x14ac:dyDescent="0.25">
      <c r="A52" s="35">
        <v>50</v>
      </c>
      <c r="B52" s="34" t="s">
        <v>17769</v>
      </c>
      <c r="C52" s="35"/>
      <c r="D52" s="34" t="s">
        <v>17770</v>
      </c>
      <c r="E52" s="34" t="s">
        <v>17771</v>
      </c>
      <c r="F52" s="34" t="s">
        <v>17772</v>
      </c>
      <c r="G52" s="34" t="s">
        <v>17773</v>
      </c>
      <c r="H52" s="34" t="s">
        <v>17774</v>
      </c>
      <c r="I52" s="35">
        <v>1</v>
      </c>
      <c r="J52" s="34" t="s">
        <v>17775</v>
      </c>
      <c r="K52" s="35"/>
      <c r="L52" s="34" t="s">
        <v>17639</v>
      </c>
      <c r="M52" s="35" t="s">
        <v>9</v>
      </c>
      <c r="N52" s="34" t="s">
        <v>17776</v>
      </c>
      <c r="O52" s="35" t="s">
        <v>816</v>
      </c>
      <c r="P52" s="35" t="s">
        <v>2629</v>
      </c>
    </row>
    <row r="53" spans="1:16" ht="13.2" customHeight="1" x14ac:dyDescent="0.25">
      <c r="A53" s="35">
        <v>51</v>
      </c>
      <c r="B53" s="34" t="s">
        <v>17777</v>
      </c>
      <c r="C53" s="35"/>
      <c r="D53" s="34" t="s">
        <v>2719</v>
      </c>
      <c r="E53" s="34" t="s">
        <v>17778</v>
      </c>
      <c r="F53" s="34" t="s">
        <v>3356</v>
      </c>
      <c r="G53" s="34" t="s">
        <v>17779</v>
      </c>
      <c r="H53" s="34" t="s">
        <v>17780</v>
      </c>
      <c r="I53" s="35">
        <v>1</v>
      </c>
      <c r="J53" s="34" t="s">
        <v>17781</v>
      </c>
      <c r="K53" s="35"/>
      <c r="L53" s="34" t="s">
        <v>17553</v>
      </c>
      <c r="M53" s="35" t="s">
        <v>9</v>
      </c>
      <c r="N53" s="34" t="s">
        <v>17782</v>
      </c>
      <c r="O53" s="35" t="s">
        <v>816</v>
      </c>
      <c r="P53" s="35" t="s">
        <v>2629</v>
      </c>
    </row>
    <row r="54" spans="1:16" ht="13.2" customHeight="1" x14ac:dyDescent="0.25">
      <c r="A54" s="35">
        <v>52</v>
      </c>
      <c r="B54" s="34" t="s">
        <v>17783</v>
      </c>
      <c r="C54" s="35"/>
      <c r="D54" s="34" t="s">
        <v>17611</v>
      </c>
      <c r="E54" s="34" t="s">
        <v>17614</v>
      </c>
      <c r="F54" s="34" t="s">
        <v>17615</v>
      </c>
      <c r="G54" s="34" t="s">
        <v>17616</v>
      </c>
      <c r="H54" s="34" t="s">
        <v>17603</v>
      </c>
      <c r="I54" s="35">
        <v>1</v>
      </c>
      <c r="J54" s="34" t="s">
        <v>17784</v>
      </c>
      <c r="K54" s="35"/>
      <c r="L54" s="34" t="s">
        <v>17553</v>
      </c>
      <c r="M54" s="35" t="s">
        <v>9</v>
      </c>
      <c r="N54" s="34" t="s">
        <v>17785</v>
      </c>
      <c r="O54" s="35" t="s">
        <v>164</v>
      </c>
      <c r="P54" s="35" t="s">
        <v>3561</v>
      </c>
    </row>
    <row r="55" spans="1:16" ht="13.2" customHeight="1" x14ac:dyDescent="0.25">
      <c r="A55" s="35">
        <v>53</v>
      </c>
      <c r="B55" s="34" t="s">
        <v>17786</v>
      </c>
      <c r="C55" s="35"/>
      <c r="D55" s="34" t="s">
        <v>17616</v>
      </c>
      <c r="E55" s="34" t="s">
        <v>17603</v>
      </c>
      <c r="F55" s="34" t="s">
        <v>17604</v>
      </c>
      <c r="G55" s="34" t="s">
        <v>17605</v>
      </c>
      <c r="H55" s="34" t="s">
        <v>17606</v>
      </c>
      <c r="I55" s="35">
        <v>1</v>
      </c>
      <c r="J55" s="34" t="s">
        <v>17787</v>
      </c>
      <c r="K55" s="35"/>
      <c r="L55" s="34" t="s">
        <v>8262</v>
      </c>
      <c r="M55" s="35" t="s">
        <v>9</v>
      </c>
      <c r="N55" s="34" t="s">
        <v>9013</v>
      </c>
      <c r="O55" s="35" t="s">
        <v>164</v>
      </c>
      <c r="P55" s="35" t="s">
        <v>3561</v>
      </c>
    </row>
    <row r="56" spans="1:16" ht="13.2" customHeight="1" x14ac:dyDescent="0.25">
      <c r="A56" s="35">
        <v>54</v>
      </c>
      <c r="B56" s="34" t="s">
        <v>17788</v>
      </c>
      <c r="C56" s="35"/>
      <c r="D56" s="34" t="s">
        <v>17605</v>
      </c>
      <c r="E56" s="34" t="s">
        <v>17606</v>
      </c>
      <c r="F56" s="34" t="s">
        <v>17609</v>
      </c>
      <c r="G56" s="34" t="s">
        <v>17610</v>
      </c>
      <c r="H56" s="34" t="s">
        <v>17611</v>
      </c>
      <c r="I56" s="35">
        <v>1</v>
      </c>
      <c r="J56" s="34" t="s">
        <v>17789</v>
      </c>
      <c r="K56" s="35"/>
      <c r="L56" s="34" t="s">
        <v>8262</v>
      </c>
      <c r="M56" s="35" t="s">
        <v>9</v>
      </c>
      <c r="N56" s="34" t="s">
        <v>17790</v>
      </c>
      <c r="O56" s="35" t="s">
        <v>164</v>
      </c>
      <c r="P56" s="35" t="s">
        <v>3561</v>
      </c>
    </row>
    <row r="57" spans="1:16" ht="13.2" customHeight="1" x14ac:dyDescent="0.25">
      <c r="A57" s="35">
        <v>55</v>
      </c>
      <c r="B57" s="34" t="s">
        <v>17791</v>
      </c>
      <c r="C57" s="35"/>
      <c r="D57" s="34" t="s">
        <v>17610</v>
      </c>
      <c r="E57" s="34" t="s">
        <v>17611</v>
      </c>
      <c r="F57" s="34" t="s">
        <v>17614</v>
      </c>
      <c r="G57" s="34" t="s">
        <v>17615</v>
      </c>
      <c r="H57" s="34" t="s">
        <v>17616</v>
      </c>
      <c r="I57" s="35">
        <v>1</v>
      </c>
      <c r="J57" s="34" t="s">
        <v>17792</v>
      </c>
      <c r="K57" s="35"/>
      <c r="L57" s="34" t="s">
        <v>8262</v>
      </c>
      <c r="M57" s="35" t="s">
        <v>9</v>
      </c>
      <c r="N57" s="34" t="s">
        <v>16812</v>
      </c>
      <c r="O57" s="35" t="s">
        <v>164</v>
      </c>
      <c r="P57" s="35" t="s">
        <v>3561</v>
      </c>
    </row>
    <row r="58" spans="1:16" ht="13.2" customHeight="1" x14ac:dyDescent="0.25">
      <c r="A58" s="35">
        <v>56</v>
      </c>
      <c r="B58" s="34" t="s">
        <v>17793</v>
      </c>
      <c r="C58" s="35"/>
      <c r="D58" s="34" t="s">
        <v>17615</v>
      </c>
      <c r="E58" s="34" t="s">
        <v>17616</v>
      </c>
      <c r="F58" s="34" t="s">
        <v>17603</v>
      </c>
      <c r="G58" s="34" t="s">
        <v>17604</v>
      </c>
      <c r="H58" s="34" t="s">
        <v>17605</v>
      </c>
      <c r="I58" s="35">
        <v>1</v>
      </c>
      <c r="J58" s="34" t="s">
        <v>17751</v>
      </c>
      <c r="K58" s="35"/>
      <c r="L58" s="34" t="s">
        <v>17553</v>
      </c>
      <c r="M58" s="35" t="s">
        <v>9</v>
      </c>
      <c r="N58" s="34" t="s">
        <v>17794</v>
      </c>
      <c r="O58" s="35" t="s">
        <v>164</v>
      </c>
      <c r="P58" s="35" t="s">
        <v>3561</v>
      </c>
    </row>
    <row r="59" spans="1:16" ht="13.2" customHeight="1" x14ac:dyDescent="0.25">
      <c r="A59" s="35">
        <v>57</v>
      </c>
      <c r="B59" s="34" t="s">
        <v>17795</v>
      </c>
      <c r="C59" s="35"/>
      <c r="D59" s="34" t="s">
        <v>17604</v>
      </c>
      <c r="E59" s="34" t="s">
        <v>17605</v>
      </c>
      <c r="F59" s="34" t="s">
        <v>17606</v>
      </c>
      <c r="G59" s="34" t="s">
        <v>17609</v>
      </c>
      <c r="H59" s="34" t="s">
        <v>17610</v>
      </c>
      <c r="I59" s="35">
        <v>1</v>
      </c>
      <c r="J59" s="34" t="s">
        <v>17796</v>
      </c>
      <c r="K59" s="35"/>
      <c r="L59" s="34" t="s">
        <v>17553</v>
      </c>
      <c r="M59" s="35" t="s">
        <v>9</v>
      </c>
      <c r="N59" s="34" t="s">
        <v>17790</v>
      </c>
      <c r="O59" s="35" t="s">
        <v>164</v>
      </c>
      <c r="P59" s="35" t="s">
        <v>3561</v>
      </c>
    </row>
    <row r="60" spans="1:16" ht="13.2" customHeight="1" x14ac:dyDescent="0.25">
      <c r="A60" s="35">
        <v>58</v>
      </c>
      <c r="B60" s="34" t="s">
        <v>17797</v>
      </c>
      <c r="C60" s="35"/>
      <c r="D60" s="34" t="s">
        <v>17609</v>
      </c>
      <c r="E60" s="34" t="s">
        <v>17610</v>
      </c>
      <c r="F60" s="34" t="s">
        <v>17611</v>
      </c>
      <c r="G60" s="34" t="s">
        <v>17614</v>
      </c>
      <c r="H60" s="34" t="s">
        <v>17615</v>
      </c>
      <c r="I60" s="35">
        <v>1</v>
      </c>
      <c r="J60" s="34" t="s">
        <v>17798</v>
      </c>
      <c r="K60" s="35"/>
      <c r="L60" s="34" t="s">
        <v>17639</v>
      </c>
      <c r="M60" s="35" t="s">
        <v>9</v>
      </c>
      <c r="N60" s="34" t="s">
        <v>17799</v>
      </c>
      <c r="O60" s="35" t="s">
        <v>164</v>
      </c>
      <c r="P60" s="35" t="s">
        <v>3561</v>
      </c>
    </row>
    <row r="61" spans="1:16" ht="13.2" customHeight="1" x14ac:dyDescent="0.25">
      <c r="A61" s="35">
        <v>59</v>
      </c>
      <c r="B61" s="34" t="s">
        <v>17800</v>
      </c>
      <c r="C61" s="35"/>
      <c r="D61" s="34" t="s">
        <v>17614</v>
      </c>
      <c r="E61" s="34" t="s">
        <v>17615</v>
      </c>
      <c r="F61" s="34" t="s">
        <v>17616</v>
      </c>
      <c r="G61" s="34" t="s">
        <v>17603</v>
      </c>
      <c r="H61" s="34" t="s">
        <v>17604</v>
      </c>
      <c r="I61" s="35">
        <v>1</v>
      </c>
      <c r="J61" s="34" t="s">
        <v>17801</v>
      </c>
      <c r="K61" s="35"/>
      <c r="L61" s="34" t="s">
        <v>17639</v>
      </c>
      <c r="M61" s="35" t="s">
        <v>9</v>
      </c>
      <c r="N61" s="34" t="s">
        <v>17802</v>
      </c>
      <c r="O61" s="35" t="s">
        <v>164</v>
      </c>
      <c r="P61" s="35" t="s">
        <v>3561</v>
      </c>
    </row>
    <row r="62" spans="1:16" ht="13.2" customHeight="1" x14ac:dyDescent="0.25">
      <c r="A62" s="35">
        <v>60</v>
      </c>
      <c r="B62" s="34" t="s">
        <v>17803</v>
      </c>
      <c r="C62" s="35"/>
      <c r="D62" s="34" t="s">
        <v>17603</v>
      </c>
      <c r="E62" s="34" t="s">
        <v>17604</v>
      </c>
      <c r="F62" s="34" t="s">
        <v>17605</v>
      </c>
      <c r="G62" s="34" t="s">
        <v>17606</v>
      </c>
      <c r="H62" s="34" t="s">
        <v>17609</v>
      </c>
      <c r="I62" s="35">
        <v>1</v>
      </c>
      <c r="J62" s="34" t="s">
        <v>17804</v>
      </c>
      <c r="K62" s="35"/>
      <c r="L62" s="34" t="s">
        <v>8262</v>
      </c>
      <c r="M62" s="35" t="s">
        <v>9</v>
      </c>
      <c r="N62" s="34" t="s">
        <v>6859</v>
      </c>
      <c r="O62" s="35" t="s">
        <v>164</v>
      </c>
      <c r="P62" s="35" t="s">
        <v>3561</v>
      </c>
    </row>
    <row r="63" spans="1:16" ht="13.2" customHeight="1" x14ac:dyDescent="0.25">
      <c r="A63" s="35">
        <v>61</v>
      </c>
      <c r="B63" s="34" t="s">
        <v>17805</v>
      </c>
      <c r="C63" s="35"/>
      <c r="D63" s="34" t="s">
        <v>17606</v>
      </c>
      <c r="E63" s="34" t="s">
        <v>17609</v>
      </c>
      <c r="F63" s="34" t="s">
        <v>17610</v>
      </c>
      <c r="G63" s="34" t="s">
        <v>17611</v>
      </c>
      <c r="H63" s="34" t="s">
        <v>17614</v>
      </c>
      <c r="I63" s="35">
        <v>1</v>
      </c>
      <c r="J63" s="34" t="s">
        <v>17806</v>
      </c>
      <c r="K63" s="35"/>
      <c r="L63" s="34" t="s">
        <v>8262</v>
      </c>
      <c r="M63" s="35" t="s">
        <v>9</v>
      </c>
      <c r="N63" s="34" t="s">
        <v>17807</v>
      </c>
      <c r="O63" s="35" t="s">
        <v>164</v>
      </c>
      <c r="P63" s="35" t="s">
        <v>3561</v>
      </c>
    </row>
    <row r="64" spans="1:16" ht="13.2" customHeight="1" x14ac:dyDescent="0.25">
      <c r="A64" s="35">
        <v>62</v>
      </c>
      <c r="B64" s="34" t="s">
        <v>3081</v>
      </c>
      <c r="C64" s="35"/>
      <c r="D64" s="34" t="s">
        <v>17611</v>
      </c>
      <c r="E64" s="34" t="s">
        <v>17614</v>
      </c>
      <c r="F64" s="34" t="s">
        <v>17615</v>
      </c>
      <c r="G64" s="34" t="s">
        <v>17616</v>
      </c>
      <c r="H64" s="34" t="s">
        <v>17603</v>
      </c>
      <c r="I64" s="35">
        <v>1</v>
      </c>
      <c r="J64" s="34" t="s">
        <v>17784</v>
      </c>
      <c r="K64" s="35"/>
      <c r="L64" s="34" t="s">
        <v>17553</v>
      </c>
      <c r="M64" s="35" t="s">
        <v>9</v>
      </c>
      <c r="N64" s="34" t="s">
        <v>2483</v>
      </c>
      <c r="O64" s="35" t="s">
        <v>164</v>
      </c>
      <c r="P64" s="35" t="s">
        <v>2705</v>
      </c>
    </row>
    <row r="65" spans="1:16" ht="13.2" customHeight="1" x14ac:dyDescent="0.25">
      <c r="A65" s="35">
        <v>63</v>
      </c>
      <c r="B65" s="34" t="s">
        <v>17808</v>
      </c>
      <c r="C65" s="35"/>
      <c r="D65" s="34" t="s">
        <v>17809</v>
      </c>
      <c r="E65" s="34" t="s">
        <v>17810</v>
      </c>
      <c r="F65" s="34" t="s">
        <v>17811</v>
      </c>
      <c r="G65" s="34" t="s">
        <v>17812</v>
      </c>
      <c r="H65" s="34" t="s">
        <v>17813</v>
      </c>
      <c r="I65" s="35">
        <v>1</v>
      </c>
      <c r="J65" s="34" t="s">
        <v>17814</v>
      </c>
      <c r="K65" s="35"/>
      <c r="L65" s="34" t="s">
        <v>8262</v>
      </c>
      <c r="M65" s="35" t="s">
        <v>9</v>
      </c>
      <c r="N65" s="34" t="s">
        <v>17815</v>
      </c>
      <c r="O65" s="35" t="s">
        <v>164</v>
      </c>
      <c r="P65" s="35" t="s">
        <v>2706</v>
      </c>
    </row>
    <row r="66" spans="1:16" ht="13.2" customHeight="1" x14ac:dyDescent="0.25">
      <c r="A66" s="35">
        <v>64</v>
      </c>
      <c r="B66" s="34" t="s">
        <v>17816</v>
      </c>
      <c r="C66" s="35"/>
      <c r="D66" s="34" t="s">
        <v>17605</v>
      </c>
      <c r="E66" s="34" t="s">
        <v>17606</v>
      </c>
      <c r="F66" s="34" t="s">
        <v>17609</v>
      </c>
      <c r="G66" s="34" t="s">
        <v>17610</v>
      </c>
      <c r="H66" s="34" t="s">
        <v>17611</v>
      </c>
      <c r="I66" s="35">
        <v>1</v>
      </c>
      <c r="J66" s="34" t="s">
        <v>17817</v>
      </c>
      <c r="K66" s="35"/>
      <c r="L66" s="34" t="s">
        <v>17639</v>
      </c>
      <c r="M66" s="35" t="s">
        <v>9</v>
      </c>
      <c r="N66" s="34" t="s">
        <v>17818</v>
      </c>
      <c r="O66" s="35" t="s">
        <v>164</v>
      </c>
      <c r="P66" s="35" t="s">
        <v>2706</v>
      </c>
    </row>
    <row r="67" spans="1:16" ht="13.2" customHeight="1" x14ac:dyDescent="0.25">
      <c r="A67" s="35">
        <v>65</v>
      </c>
      <c r="B67" s="34" t="s">
        <v>17819</v>
      </c>
      <c r="C67" s="35"/>
      <c r="D67" s="34" t="s">
        <v>17610</v>
      </c>
      <c r="E67" s="34" t="s">
        <v>17611</v>
      </c>
      <c r="F67" s="34" t="s">
        <v>17614</v>
      </c>
      <c r="G67" s="34" t="s">
        <v>17615</v>
      </c>
      <c r="H67" s="34" t="s">
        <v>17616</v>
      </c>
      <c r="I67" s="35">
        <v>1</v>
      </c>
      <c r="J67" s="34" t="s">
        <v>17820</v>
      </c>
      <c r="K67" s="35"/>
      <c r="L67" s="34" t="s">
        <v>17639</v>
      </c>
      <c r="M67" s="35" t="s">
        <v>9</v>
      </c>
      <c r="N67" s="34" t="s">
        <v>16859</v>
      </c>
      <c r="O67" s="35" t="s">
        <v>164</v>
      </c>
      <c r="P67" s="35" t="s">
        <v>2706</v>
      </c>
    </row>
    <row r="68" spans="1:16" ht="13.2" customHeight="1" x14ac:dyDescent="0.25">
      <c r="A68" s="35">
        <v>66</v>
      </c>
      <c r="B68" s="34" t="s">
        <v>3158</v>
      </c>
      <c r="C68" s="35"/>
      <c r="D68" s="34" t="s">
        <v>17615</v>
      </c>
      <c r="E68" s="34" t="s">
        <v>17616</v>
      </c>
      <c r="F68" s="34" t="s">
        <v>17603</v>
      </c>
      <c r="G68" s="34" t="s">
        <v>17604</v>
      </c>
      <c r="H68" s="34" t="s">
        <v>17605</v>
      </c>
      <c r="I68" s="35">
        <v>1</v>
      </c>
      <c r="J68" s="34" t="s">
        <v>17751</v>
      </c>
      <c r="K68" s="35"/>
      <c r="L68" s="34" t="s">
        <v>17553</v>
      </c>
      <c r="M68" s="35" t="s">
        <v>9</v>
      </c>
      <c r="N68" s="34" t="s">
        <v>7452</v>
      </c>
      <c r="O68" s="35" t="s">
        <v>164</v>
      </c>
      <c r="P68" s="35" t="s">
        <v>2706</v>
      </c>
    </row>
    <row r="69" spans="1:16" ht="13.2" customHeight="1" x14ac:dyDescent="0.25">
      <c r="A69" s="35">
        <v>67</v>
      </c>
      <c r="B69" s="34" t="s">
        <v>17821</v>
      </c>
      <c r="C69" s="35"/>
      <c r="D69" s="34" t="s">
        <v>17604</v>
      </c>
      <c r="E69" s="34" t="s">
        <v>17605</v>
      </c>
      <c r="F69" s="34" t="s">
        <v>17606</v>
      </c>
      <c r="G69" s="34" t="s">
        <v>17609</v>
      </c>
      <c r="H69" s="34" t="s">
        <v>17610</v>
      </c>
      <c r="I69" s="35">
        <v>1</v>
      </c>
      <c r="J69" s="34" t="s">
        <v>17796</v>
      </c>
      <c r="K69" s="35"/>
      <c r="L69" s="34" t="s">
        <v>17553</v>
      </c>
      <c r="M69" s="35" t="s">
        <v>9</v>
      </c>
      <c r="N69" s="34" t="s">
        <v>3595</v>
      </c>
      <c r="O69" s="35" t="s">
        <v>164</v>
      </c>
      <c r="P69" s="35" t="s">
        <v>2706</v>
      </c>
    </row>
    <row r="70" spans="1:16" ht="13.2" customHeight="1" x14ac:dyDescent="0.25">
      <c r="A70" s="35">
        <v>68</v>
      </c>
      <c r="B70" s="34" t="s">
        <v>17822</v>
      </c>
      <c r="C70" s="35"/>
      <c r="D70" s="34" t="s">
        <v>17609</v>
      </c>
      <c r="E70" s="34" t="s">
        <v>17610</v>
      </c>
      <c r="F70" s="34" t="s">
        <v>17611</v>
      </c>
      <c r="G70" s="34" t="s">
        <v>17614</v>
      </c>
      <c r="H70" s="34" t="s">
        <v>17615</v>
      </c>
      <c r="I70" s="35">
        <v>1</v>
      </c>
      <c r="J70" s="34" t="s">
        <v>17823</v>
      </c>
      <c r="K70" s="35"/>
      <c r="L70" s="34" t="s">
        <v>17553</v>
      </c>
      <c r="M70" s="35" t="s">
        <v>9</v>
      </c>
      <c r="N70" s="34" t="s">
        <v>3595</v>
      </c>
      <c r="O70" s="35" t="s">
        <v>164</v>
      </c>
      <c r="P70" s="35" t="s">
        <v>2706</v>
      </c>
    </row>
    <row r="71" spans="1:16" ht="13.2" customHeight="1" x14ac:dyDescent="0.25">
      <c r="A71" s="35">
        <v>69</v>
      </c>
      <c r="B71" s="34" t="s">
        <v>17824</v>
      </c>
      <c r="C71" s="35"/>
      <c r="D71" s="34" t="s">
        <v>17614</v>
      </c>
      <c r="E71" s="34" t="s">
        <v>17615</v>
      </c>
      <c r="F71" s="34" t="s">
        <v>17616</v>
      </c>
      <c r="G71" s="34" t="s">
        <v>17603</v>
      </c>
      <c r="H71" s="34" t="s">
        <v>17604</v>
      </c>
      <c r="I71" s="35">
        <v>1</v>
      </c>
      <c r="J71" s="34" t="s">
        <v>17825</v>
      </c>
      <c r="K71" s="35"/>
      <c r="L71" s="34" t="s">
        <v>8262</v>
      </c>
      <c r="M71" s="35" t="s">
        <v>9</v>
      </c>
      <c r="N71" s="34" t="s">
        <v>9020</v>
      </c>
      <c r="O71" s="35" t="s">
        <v>164</v>
      </c>
      <c r="P71" s="35" t="s">
        <v>2706</v>
      </c>
    </row>
    <row r="72" spans="1:16" ht="13.2" customHeight="1" x14ac:dyDescent="0.25">
      <c r="A72" s="35">
        <v>70</v>
      </c>
      <c r="B72" s="34" t="s">
        <v>17826</v>
      </c>
      <c r="C72" s="35"/>
      <c r="D72" s="34" t="s">
        <v>17827</v>
      </c>
      <c r="E72" s="34" t="s">
        <v>17828</v>
      </c>
      <c r="F72" s="34" t="s">
        <v>17829</v>
      </c>
      <c r="G72" s="34" t="s">
        <v>17830</v>
      </c>
      <c r="H72" s="34" t="s">
        <v>17831</v>
      </c>
      <c r="I72" s="35">
        <v>3</v>
      </c>
      <c r="J72" s="34" t="s">
        <v>17832</v>
      </c>
      <c r="K72" s="35"/>
      <c r="L72" s="34" t="s">
        <v>17523</v>
      </c>
      <c r="M72" s="35" t="s">
        <v>9</v>
      </c>
      <c r="N72" s="34" t="s">
        <v>3650</v>
      </c>
      <c r="O72" s="35" t="s">
        <v>164</v>
      </c>
      <c r="P72" s="35" t="s">
        <v>2707</v>
      </c>
    </row>
    <row r="73" spans="1:16" ht="13.2" customHeight="1" x14ac:dyDescent="0.25">
      <c r="A73" s="35">
        <v>71</v>
      </c>
      <c r="B73" s="34" t="s">
        <v>17833</v>
      </c>
      <c r="C73" s="35"/>
      <c r="D73" s="34" t="s">
        <v>17606</v>
      </c>
      <c r="E73" s="34" t="s">
        <v>17609</v>
      </c>
      <c r="F73" s="34" t="s">
        <v>17610</v>
      </c>
      <c r="G73" s="34" t="s">
        <v>17611</v>
      </c>
      <c r="H73" s="34" t="s">
        <v>17614</v>
      </c>
      <c r="I73" s="35">
        <v>1</v>
      </c>
      <c r="J73" s="34" t="s">
        <v>17806</v>
      </c>
      <c r="K73" s="35"/>
      <c r="L73" s="34" t="s">
        <v>8262</v>
      </c>
      <c r="M73" s="35" t="s">
        <v>9</v>
      </c>
      <c r="N73" s="34" t="s">
        <v>3642</v>
      </c>
      <c r="O73" s="35" t="s">
        <v>164</v>
      </c>
      <c r="P73" s="35" t="s">
        <v>2707</v>
      </c>
    </row>
    <row r="74" spans="1:16" ht="13.2" customHeight="1" x14ac:dyDescent="0.25">
      <c r="A74" s="35">
        <v>72</v>
      </c>
      <c r="B74" s="34" t="s">
        <v>17834</v>
      </c>
      <c r="C74" s="35"/>
      <c r="D74" s="34" t="s">
        <v>17611</v>
      </c>
      <c r="E74" s="34" t="s">
        <v>17614</v>
      </c>
      <c r="F74" s="34" t="s">
        <v>17615</v>
      </c>
      <c r="G74" s="34" t="s">
        <v>17616</v>
      </c>
      <c r="H74" s="34" t="s">
        <v>17603</v>
      </c>
      <c r="I74" s="35">
        <v>3</v>
      </c>
      <c r="J74" s="34" t="s">
        <v>17835</v>
      </c>
      <c r="K74" s="35"/>
      <c r="L74" s="34" t="s">
        <v>17639</v>
      </c>
      <c r="M74" s="35" t="s">
        <v>9</v>
      </c>
      <c r="N74" s="34" t="s">
        <v>6881</v>
      </c>
      <c r="O74" s="35" t="s">
        <v>164</v>
      </c>
      <c r="P74" s="35" t="s">
        <v>2707</v>
      </c>
    </row>
    <row r="75" spans="1:16" ht="13.2" customHeight="1" x14ac:dyDescent="0.25">
      <c r="A75" s="35">
        <v>73</v>
      </c>
      <c r="B75" s="34" t="s">
        <v>17836</v>
      </c>
      <c r="C75" s="35"/>
      <c r="D75" s="34" t="s">
        <v>17616</v>
      </c>
      <c r="E75" s="34" t="s">
        <v>17603</v>
      </c>
      <c r="F75" s="34" t="s">
        <v>17604</v>
      </c>
      <c r="G75" s="34" t="s">
        <v>17605</v>
      </c>
      <c r="H75" s="34" t="s">
        <v>17606</v>
      </c>
      <c r="I75" s="35">
        <v>1</v>
      </c>
      <c r="J75" s="34" t="s">
        <v>17787</v>
      </c>
      <c r="K75" s="35"/>
      <c r="L75" s="34" t="s">
        <v>8262</v>
      </c>
      <c r="M75" s="35" t="s">
        <v>9</v>
      </c>
      <c r="N75" s="34" t="s">
        <v>3689</v>
      </c>
      <c r="O75" s="35" t="s">
        <v>164</v>
      </c>
      <c r="P75" s="35" t="s">
        <v>2709</v>
      </c>
    </row>
    <row r="76" spans="1:16" ht="13.2" customHeight="1" x14ac:dyDescent="0.25">
      <c r="A76" s="35">
        <v>74</v>
      </c>
      <c r="B76" s="34" t="s">
        <v>17837</v>
      </c>
      <c r="C76" s="35"/>
      <c r="D76" s="34" t="s">
        <v>17605</v>
      </c>
      <c r="E76" s="34" t="s">
        <v>17606</v>
      </c>
      <c r="F76" s="34" t="s">
        <v>17609</v>
      </c>
      <c r="G76" s="34" t="s">
        <v>17610</v>
      </c>
      <c r="H76" s="34" t="s">
        <v>17611</v>
      </c>
      <c r="I76" s="35">
        <v>1</v>
      </c>
      <c r="J76" s="34" t="s">
        <v>17838</v>
      </c>
      <c r="K76" s="35"/>
      <c r="L76" s="34" t="s">
        <v>17624</v>
      </c>
      <c r="M76" s="35" t="s">
        <v>9</v>
      </c>
      <c r="N76" s="34" t="s">
        <v>3681</v>
      </c>
      <c r="O76" s="35" t="s">
        <v>164</v>
      </c>
      <c r="P76" s="35" t="s">
        <v>2709</v>
      </c>
    </row>
    <row r="77" spans="1:16" ht="13.2" customHeight="1" x14ac:dyDescent="0.25">
      <c r="A77" s="35">
        <v>75</v>
      </c>
      <c r="B77" s="34" t="s">
        <v>17839</v>
      </c>
      <c r="C77" s="35"/>
      <c r="D77" s="34" t="s">
        <v>17610</v>
      </c>
      <c r="E77" s="34" t="s">
        <v>17611</v>
      </c>
      <c r="F77" s="34" t="s">
        <v>17614</v>
      </c>
      <c r="G77" s="34" t="s">
        <v>17615</v>
      </c>
      <c r="H77" s="34" t="s">
        <v>17616</v>
      </c>
      <c r="I77" s="35">
        <v>1</v>
      </c>
      <c r="J77" s="34" t="s">
        <v>17820</v>
      </c>
      <c r="K77" s="35"/>
      <c r="L77" s="34" t="s">
        <v>17639</v>
      </c>
      <c r="M77" s="35" t="s">
        <v>9</v>
      </c>
      <c r="N77" s="34" t="s">
        <v>3699</v>
      </c>
      <c r="O77" s="35" t="s">
        <v>164</v>
      </c>
      <c r="P77" s="35" t="s">
        <v>2709</v>
      </c>
    </row>
    <row r="78" spans="1:16" ht="13.2" customHeight="1" x14ac:dyDescent="0.25">
      <c r="A78" s="35">
        <v>76</v>
      </c>
      <c r="B78" s="34" t="s">
        <v>17840</v>
      </c>
      <c r="C78" s="35"/>
      <c r="D78" s="34" t="s">
        <v>17841</v>
      </c>
      <c r="E78" s="34" t="s">
        <v>17842</v>
      </c>
      <c r="F78" s="34" t="s">
        <v>17843</v>
      </c>
      <c r="G78" s="34" t="s">
        <v>17844</v>
      </c>
      <c r="H78" s="34" t="s">
        <v>17845</v>
      </c>
      <c r="I78" s="35">
        <v>1</v>
      </c>
      <c r="J78" s="34" t="s">
        <v>17846</v>
      </c>
      <c r="K78" s="35"/>
      <c r="L78" s="34" t="s">
        <v>8262</v>
      </c>
      <c r="M78" s="35" t="s">
        <v>9</v>
      </c>
      <c r="N78" s="34" t="s">
        <v>2540</v>
      </c>
      <c r="O78" s="35" t="s">
        <v>816</v>
      </c>
      <c r="P78" s="35" t="s">
        <v>2710</v>
      </c>
    </row>
    <row r="79" spans="1:16" ht="13.2" customHeight="1" x14ac:dyDescent="0.25">
      <c r="A79" s="35">
        <v>77</v>
      </c>
      <c r="B79" s="34" t="s">
        <v>17847</v>
      </c>
      <c r="C79" s="35"/>
      <c r="D79" s="34" t="s">
        <v>17848</v>
      </c>
      <c r="E79" s="34" t="s">
        <v>17849</v>
      </c>
      <c r="F79" s="34" t="s">
        <v>17850</v>
      </c>
      <c r="G79" s="34" t="s">
        <v>17851</v>
      </c>
      <c r="H79" s="34" t="s">
        <v>17852</v>
      </c>
      <c r="I79" s="35">
        <v>1</v>
      </c>
      <c r="J79" s="34" t="s">
        <v>17853</v>
      </c>
      <c r="K79" s="35"/>
      <c r="L79" s="34" t="s">
        <v>17553</v>
      </c>
      <c r="M79" s="35" t="s">
        <v>9</v>
      </c>
      <c r="N79" s="34" t="s">
        <v>3856</v>
      </c>
      <c r="O79" s="35" t="s">
        <v>816</v>
      </c>
      <c r="P79" s="35" t="s">
        <v>2710</v>
      </c>
    </row>
    <row r="80" spans="1:16" ht="13.2" customHeight="1" x14ac:dyDescent="0.25">
      <c r="A80" s="35">
        <v>78</v>
      </c>
      <c r="B80" s="34" t="s">
        <v>17854</v>
      </c>
      <c r="C80" s="35"/>
      <c r="D80" s="34" t="s">
        <v>10288</v>
      </c>
      <c r="E80" s="34" t="s">
        <v>17855</v>
      </c>
      <c r="F80" s="34" t="s">
        <v>3298</v>
      </c>
      <c r="G80" s="34" t="s">
        <v>3301</v>
      </c>
      <c r="H80" s="34" t="s">
        <v>17856</v>
      </c>
      <c r="I80" s="35">
        <v>1</v>
      </c>
      <c r="J80" s="34" t="s">
        <v>17857</v>
      </c>
      <c r="K80" s="35"/>
      <c r="L80" s="34" t="s">
        <v>8262</v>
      </c>
      <c r="M80" s="35" t="s">
        <v>9</v>
      </c>
      <c r="N80" s="34" t="s">
        <v>3789</v>
      </c>
      <c r="O80" s="35" t="s">
        <v>816</v>
      </c>
      <c r="P80" s="35" t="s">
        <v>2710</v>
      </c>
    </row>
    <row r="81" spans="1:16" ht="13.2" customHeight="1" x14ac:dyDescent="0.25">
      <c r="A81" s="35">
        <v>79</v>
      </c>
      <c r="B81" s="34" t="s">
        <v>17858</v>
      </c>
      <c r="C81" s="35"/>
      <c r="D81" s="34" t="s">
        <v>17614</v>
      </c>
      <c r="E81" s="34" t="s">
        <v>17615</v>
      </c>
      <c r="F81" s="34" t="s">
        <v>17616</v>
      </c>
      <c r="G81" s="34" t="s">
        <v>17603</v>
      </c>
      <c r="H81" s="34" t="s">
        <v>17604</v>
      </c>
      <c r="I81" s="35">
        <v>1</v>
      </c>
      <c r="J81" s="34" t="s">
        <v>17859</v>
      </c>
      <c r="K81" s="35"/>
      <c r="L81" s="34" t="s">
        <v>17523</v>
      </c>
      <c r="M81" s="35" t="s">
        <v>9</v>
      </c>
      <c r="N81" s="34" t="s">
        <v>16896</v>
      </c>
      <c r="O81" s="35" t="s">
        <v>816</v>
      </c>
      <c r="P81" s="35" t="s">
        <v>2710</v>
      </c>
    </row>
    <row r="82" spans="1:16" ht="13.2" customHeight="1" x14ac:dyDescent="0.25">
      <c r="A82" s="35">
        <v>80</v>
      </c>
      <c r="B82" s="34" t="s">
        <v>17860</v>
      </c>
      <c r="C82" s="35"/>
      <c r="D82" s="34" t="s">
        <v>17603</v>
      </c>
      <c r="E82" s="34" t="s">
        <v>17604</v>
      </c>
      <c r="F82" s="34" t="s">
        <v>17605</v>
      </c>
      <c r="G82" s="34" t="s">
        <v>17606</v>
      </c>
      <c r="H82" s="34" t="s">
        <v>17609</v>
      </c>
      <c r="I82" s="35">
        <v>1</v>
      </c>
      <c r="J82" s="34" t="s">
        <v>17861</v>
      </c>
      <c r="K82" s="35"/>
      <c r="L82" s="34" t="s">
        <v>17624</v>
      </c>
      <c r="M82" s="35" t="s">
        <v>9</v>
      </c>
      <c r="N82" s="34" t="s">
        <v>2537</v>
      </c>
      <c r="O82" s="35" t="s">
        <v>816</v>
      </c>
      <c r="P82" s="35" t="s">
        <v>2710</v>
      </c>
    </row>
    <row r="83" spans="1:16" ht="13.2" customHeight="1" x14ac:dyDescent="0.25">
      <c r="A83" s="35">
        <v>81</v>
      </c>
      <c r="B83" s="34" t="s">
        <v>17862</v>
      </c>
      <c r="C83" s="35"/>
      <c r="D83" s="34" t="s">
        <v>17606</v>
      </c>
      <c r="E83" s="34" t="s">
        <v>17609</v>
      </c>
      <c r="F83" s="34" t="s">
        <v>17610</v>
      </c>
      <c r="G83" s="34" t="s">
        <v>17611</v>
      </c>
      <c r="H83" s="34" t="s">
        <v>17614</v>
      </c>
      <c r="I83" s="35">
        <v>1</v>
      </c>
      <c r="J83" s="34" t="s">
        <v>17863</v>
      </c>
      <c r="K83" s="35"/>
      <c r="L83" s="34" t="s">
        <v>17553</v>
      </c>
      <c r="M83" s="35" t="s">
        <v>9</v>
      </c>
      <c r="N83" s="34" t="s">
        <v>3754</v>
      </c>
      <c r="O83" s="35" t="s">
        <v>816</v>
      </c>
      <c r="P83" s="35" t="s">
        <v>2710</v>
      </c>
    </row>
    <row r="84" spans="1:16" ht="13.2" customHeight="1" x14ac:dyDescent="0.25">
      <c r="A84" s="35">
        <v>82</v>
      </c>
      <c r="B84" s="34" t="s">
        <v>17864</v>
      </c>
      <c r="C84" s="35"/>
      <c r="D84" s="34" t="s">
        <v>17611</v>
      </c>
      <c r="E84" s="34" t="s">
        <v>17614</v>
      </c>
      <c r="F84" s="34" t="s">
        <v>17615</v>
      </c>
      <c r="G84" s="34" t="s">
        <v>17616</v>
      </c>
      <c r="H84" s="34" t="s">
        <v>17603</v>
      </c>
      <c r="I84" s="35">
        <v>1</v>
      </c>
      <c r="J84" s="34" t="s">
        <v>17784</v>
      </c>
      <c r="K84" s="35"/>
      <c r="L84" s="34" t="s">
        <v>17553</v>
      </c>
      <c r="M84" s="35" t="s">
        <v>9</v>
      </c>
      <c r="N84" s="34" t="s">
        <v>3733</v>
      </c>
      <c r="O84" s="35" t="s">
        <v>816</v>
      </c>
      <c r="P84" s="35" t="s">
        <v>2710</v>
      </c>
    </row>
    <row r="85" spans="1:16" ht="13.2" customHeight="1" x14ac:dyDescent="0.25">
      <c r="A85" s="35">
        <v>83</v>
      </c>
      <c r="B85" s="34" t="s">
        <v>17865</v>
      </c>
      <c r="C85" s="35"/>
      <c r="D85" s="34" t="s">
        <v>17866</v>
      </c>
      <c r="E85" s="34" t="s">
        <v>17867</v>
      </c>
      <c r="F85" s="34" t="s">
        <v>17868</v>
      </c>
      <c r="G85" s="34" t="s">
        <v>17869</v>
      </c>
      <c r="H85" s="34" t="s">
        <v>17870</v>
      </c>
      <c r="I85" s="35">
        <v>1</v>
      </c>
      <c r="J85" s="34" t="s">
        <v>17871</v>
      </c>
      <c r="K85" s="35"/>
      <c r="L85" s="34" t="s">
        <v>17553</v>
      </c>
      <c r="M85" s="35" t="s">
        <v>9</v>
      </c>
      <c r="N85" s="34" t="s">
        <v>5030</v>
      </c>
      <c r="O85" s="35" t="s">
        <v>816</v>
      </c>
      <c r="P85" s="35" t="s">
        <v>2710</v>
      </c>
    </row>
    <row r="86" spans="1:16" ht="13.2" customHeight="1" x14ac:dyDescent="0.25">
      <c r="A86" s="35">
        <v>84</v>
      </c>
      <c r="B86" s="34" t="s">
        <v>17872</v>
      </c>
      <c r="C86" s="35"/>
      <c r="D86" s="34" t="s">
        <v>17605</v>
      </c>
      <c r="E86" s="34" t="s">
        <v>17606</v>
      </c>
      <c r="F86" s="34" t="s">
        <v>17609</v>
      </c>
      <c r="G86" s="34" t="s">
        <v>17610</v>
      </c>
      <c r="H86" s="34" t="s">
        <v>17611</v>
      </c>
      <c r="I86" s="35">
        <v>1</v>
      </c>
      <c r="J86" s="34" t="s">
        <v>17873</v>
      </c>
      <c r="K86" s="35"/>
      <c r="L86" s="34" t="s">
        <v>17553</v>
      </c>
      <c r="M86" s="35" t="s">
        <v>9</v>
      </c>
      <c r="N86" s="34" t="s">
        <v>2537</v>
      </c>
      <c r="O86" s="35" t="s">
        <v>816</v>
      </c>
      <c r="P86" s="35" t="s">
        <v>2710</v>
      </c>
    </row>
    <row r="87" spans="1:16" ht="13.2" customHeight="1" x14ac:dyDescent="0.25">
      <c r="A87" s="35">
        <v>85</v>
      </c>
      <c r="B87" s="34" t="s">
        <v>17874</v>
      </c>
      <c r="C87" s="35"/>
      <c r="D87" s="34" t="s">
        <v>17875</v>
      </c>
      <c r="E87" s="34" t="s">
        <v>17876</v>
      </c>
      <c r="F87" s="34" t="s">
        <v>17877</v>
      </c>
      <c r="G87" s="34" t="s">
        <v>17878</v>
      </c>
      <c r="H87" s="34" t="s">
        <v>17879</v>
      </c>
      <c r="I87" s="35">
        <v>1</v>
      </c>
      <c r="J87" s="34" t="s">
        <v>17880</v>
      </c>
      <c r="K87" s="35"/>
      <c r="L87" s="34" t="s">
        <v>17553</v>
      </c>
      <c r="M87" s="35" t="s">
        <v>9</v>
      </c>
      <c r="N87" s="34" t="s">
        <v>2540</v>
      </c>
      <c r="O87" s="35" t="s">
        <v>816</v>
      </c>
      <c r="P87" s="35" t="s">
        <v>2710</v>
      </c>
    </row>
    <row r="88" spans="1:16" ht="13.2" customHeight="1" x14ac:dyDescent="0.25">
      <c r="A88" s="35">
        <v>86</v>
      </c>
      <c r="B88" s="34" t="s">
        <v>17881</v>
      </c>
      <c r="C88" s="35"/>
      <c r="D88" s="34" t="s">
        <v>17882</v>
      </c>
      <c r="E88" s="34" t="s">
        <v>17883</v>
      </c>
      <c r="F88" s="34" t="s">
        <v>17884</v>
      </c>
      <c r="G88" s="34" t="s">
        <v>17885</v>
      </c>
      <c r="H88" s="34" t="s">
        <v>17886</v>
      </c>
      <c r="I88" s="35">
        <v>1</v>
      </c>
      <c r="J88" s="34" t="s">
        <v>17887</v>
      </c>
      <c r="K88" s="35"/>
      <c r="L88" s="34" t="s">
        <v>17624</v>
      </c>
      <c r="M88" s="35" t="s">
        <v>9</v>
      </c>
      <c r="N88" s="34" t="s">
        <v>2537</v>
      </c>
      <c r="O88" s="35" t="s">
        <v>816</v>
      </c>
      <c r="P88" s="35" t="s">
        <v>2710</v>
      </c>
    </row>
    <row r="89" spans="1:16" ht="13.2" customHeight="1" x14ac:dyDescent="0.25">
      <c r="A89" s="35">
        <v>87</v>
      </c>
      <c r="B89" s="34" t="s">
        <v>17888</v>
      </c>
      <c r="C89" s="35"/>
      <c r="D89" s="34" t="s">
        <v>17889</v>
      </c>
      <c r="E89" s="34" t="s">
        <v>17890</v>
      </c>
      <c r="F89" s="34" t="s">
        <v>17891</v>
      </c>
      <c r="G89" s="34" t="s">
        <v>17892</v>
      </c>
      <c r="H89" s="34" t="s">
        <v>17893</v>
      </c>
      <c r="I89" s="35">
        <v>1</v>
      </c>
      <c r="J89" s="34" t="s">
        <v>17894</v>
      </c>
      <c r="K89" s="35"/>
      <c r="L89" s="34" t="s">
        <v>17553</v>
      </c>
      <c r="M89" s="35" t="s">
        <v>9</v>
      </c>
      <c r="N89" s="34" t="s">
        <v>13786</v>
      </c>
      <c r="O89" s="35" t="s">
        <v>816</v>
      </c>
      <c r="P89" s="35" t="s">
        <v>2710</v>
      </c>
    </row>
    <row r="90" spans="1:16" ht="13.2" customHeight="1" x14ac:dyDescent="0.25">
      <c r="A90" s="35">
        <v>88</v>
      </c>
      <c r="B90" s="34" t="s">
        <v>17895</v>
      </c>
      <c r="C90" s="35"/>
      <c r="D90" s="34" t="s">
        <v>17609</v>
      </c>
      <c r="E90" s="34" t="s">
        <v>17610</v>
      </c>
      <c r="F90" s="34" t="s">
        <v>17611</v>
      </c>
      <c r="G90" s="34" t="s">
        <v>17614</v>
      </c>
      <c r="H90" s="34" t="s">
        <v>17615</v>
      </c>
      <c r="I90" s="35">
        <v>1</v>
      </c>
      <c r="J90" s="34" t="s">
        <v>17896</v>
      </c>
      <c r="K90" s="35"/>
      <c r="L90" s="34" t="s">
        <v>17624</v>
      </c>
      <c r="M90" s="35" t="s">
        <v>9</v>
      </c>
      <c r="N90" s="34" t="s">
        <v>7575</v>
      </c>
      <c r="O90" s="35" t="s">
        <v>816</v>
      </c>
      <c r="P90" s="35" t="s">
        <v>2711</v>
      </c>
    </row>
    <row r="91" spans="1:16" ht="13.2" customHeight="1" x14ac:dyDescent="0.25">
      <c r="A91" s="35">
        <v>89</v>
      </c>
      <c r="B91" s="34" t="s">
        <v>17897</v>
      </c>
      <c r="C91" s="35"/>
      <c r="D91" s="34" t="s">
        <v>17614</v>
      </c>
      <c r="E91" s="34" t="s">
        <v>17615</v>
      </c>
      <c r="F91" s="34" t="s">
        <v>17616</v>
      </c>
      <c r="G91" s="34" t="s">
        <v>17603</v>
      </c>
      <c r="H91" s="34" t="s">
        <v>17604</v>
      </c>
      <c r="I91" s="35">
        <v>5</v>
      </c>
      <c r="J91" s="34" t="s">
        <v>17898</v>
      </c>
      <c r="K91" s="35"/>
      <c r="L91" s="34" t="s">
        <v>17624</v>
      </c>
      <c r="M91" s="35" t="s">
        <v>9</v>
      </c>
      <c r="N91" s="34" t="s">
        <v>1669</v>
      </c>
      <c r="O91" s="35" t="s">
        <v>816</v>
      </c>
      <c r="P91" s="35" t="s">
        <v>2711</v>
      </c>
    </row>
    <row r="92" spans="1:16" ht="13.2" customHeight="1" x14ac:dyDescent="0.25">
      <c r="A92" s="35">
        <v>90</v>
      </c>
      <c r="B92" s="34" t="s">
        <v>17899</v>
      </c>
      <c r="C92" s="35"/>
      <c r="D92" s="34" t="s">
        <v>17603</v>
      </c>
      <c r="E92" s="34" t="s">
        <v>17604</v>
      </c>
      <c r="F92" s="34" t="s">
        <v>17605</v>
      </c>
      <c r="G92" s="34" t="s">
        <v>17606</v>
      </c>
      <c r="H92" s="34" t="s">
        <v>17609</v>
      </c>
      <c r="I92" s="35">
        <v>1</v>
      </c>
      <c r="J92" s="34" t="s">
        <v>17804</v>
      </c>
      <c r="K92" s="35"/>
      <c r="L92" s="34" t="s">
        <v>8262</v>
      </c>
      <c r="M92" s="35" t="s">
        <v>9</v>
      </c>
      <c r="N92" s="34" t="s">
        <v>3887</v>
      </c>
      <c r="O92" s="35" t="s">
        <v>816</v>
      </c>
      <c r="P92" s="35" t="s">
        <v>2711</v>
      </c>
    </row>
    <row r="93" spans="1:16" ht="13.2" customHeight="1" x14ac:dyDescent="0.25">
      <c r="A93" s="35">
        <v>91</v>
      </c>
      <c r="B93" s="34" t="s">
        <v>17900</v>
      </c>
      <c r="C93" s="35"/>
      <c r="D93" s="34" t="s">
        <v>17606</v>
      </c>
      <c r="E93" s="34" t="s">
        <v>17609</v>
      </c>
      <c r="F93" s="34" t="s">
        <v>17610</v>
      </c>
      <c r="G93" s="34" t="s">
        <v>17611</v>
      </c>
      <c r="H93" s="34" t="s">
        <v>17614</v>
      </c>
      <c r="I93" s="35">
        <v>1</v>
      </c>
      <c r="J93" s="34" t="s">
        <v>17806</v>
      </c>
      <c r="K93" s="35"/>
      <c r="L93" s="34" t="s">
        <v>8262</v>
      </c>
      <c r="M93" s="35" t="s">
        <v>9</v>
      </c>
      <c r="N93" s="34" t="s">
        <v>3936</v>
      </c>
      <c r="O93" s="35" t="s">
        <v>816</v>
      </c>
      <c r="P93" s="35" t="s">
        <v>2711</v>
      </c>
    </row>
    <row r="94" spans="1:16" ht="13.2" customHeight="1" x14ac:dyDescent="0.25">
      <c r="A94" s="35">
        <v>92</v>
      </c>
      <c r="B94" s="34" t="s">
        <v>17901</v>
      </c>
      <c r="C94" s="35"/>
      <c r="D94" s="34" t="s">
        <v>17611</v>
      </c>
      <c r="E94" s="34" t="s">
        <v>17614</v>
      </c>
      <c r="F94" s="34" t="s">
        <v>17615</v>
      </c>
      <c r="G94" s="34" t="s">
        <v>17616</v>
      </c>
      <c r="H94" s="34" t="s">
        <v>17603</v>
      </c>
      <c r="I94" s="35">
        <v>1</v>
      </c>
      <c r="J94" s="34" t="s">
        <v>17784</v>
      </c>
      <c r="K94" s="35"/>
      <c r="L94" s="34" t="s">
        <v>17553</v>
      </c>
      <c r="M94" s="35" t="s">
        <v>9</v>
      </c>
      <c r="N94" s="34" t="s">
        <v>2655</v>
      </c>
      <c r="O94" s="35" t="s">
        <v>816</v>
      </c>
      <c r="P94" s="35" t="s">
        <v>2711</v>
      </c>
    </row>
    <row r="95" spans="1:16" ht="13.2" customHeight="1" x14ac:dyDescent="0.25">
      <c r="A95" s="35">
        <v>93</v>
      </c>
      <c r="B95" s="34" t="s">
        <v>17822</v>
      </c>
      <c r="C95" s="35"/>
      <c r="D95" s="34" t="s">
        <v>17616</v>
      </c>
      <c r="E95" s="34" t="s">
        <v>17603</v>
      </c>
      <c r="F95" s="34" t="s">
        <v>17604</v>
      </c>
      <c r="G95" s="34" t="s">
        <v>17605</v>
      </c>
      <c r="H95" s="34" t="s">
        <v>17606</v>
      </c>
      <c r="I95" s="35">
        <v>1</v>
      </c>
      <c r="J95" s="34" t="s">
        <v>17902</v>
      </c>
      <c r="K95" s="35"/>
      <c r="L95" s="34" t="s">
        <v>17553</v>
      </c>
      <c r="M95" s="35" t="s">
        <v>9</v>
      </c>
      <c r="N95" s="34" t="s">
        <v>3887</v>
      </c>
      <c r="O95" s="35" t="s">
        <v>816</v>
      </c>
      <c r="P95" s="35" t="s">
        <v>2711</v>
      </c>
    </row>
    <row r="96" spans="1:16" ht="13.2" customHeight="1" x14ac:dyDescent="0.25">
      <c r="A96" s="35">
        <v>94</v>
      </c>
      <c r="B96" s="34" t="s">
        <v>17903</v>
      </c>
      <c r="C96" s="35"/>
      <c r="D96" s="34" t="s">
        <v>17605</v>
      </c>
      <c r="E96" s="34" t="s">
        <v>17606</v>
      </c>
      <c r="F96" s="34" t="s">
        <v>17609</v>
      </c>
      <c r="G96" s="34" t="s">
        <v>17610</v>
      </c>
      <c r="H96" s="34" t="s">
        <v>17611</v>
      </c>
      <c r="I96" s="35">
        <v>1</v>
      </c>
      <c r="J96" s="34" t="s">
        <v>17789</v>
      </c>
      <c r="K96" s="35"/>
      <c r="L96" s="34" t="s">
        <v>8262</v>
      </c>
      <c r="M96" s="35" t="s">
        <v>9</v>
      </c>
      <c r="N96" s="34" t="s">
        <v>3900</v>
      </c>
      <c r="O96" s="35" t="s">
        <v>816</v>
      </c>
      <c r="P96" s="35" t="s">
        <v>2711</v>
      </c>
    </row>
    <row r="97" spans="1:16" ht="13.2" customHeight="1" x14ac:dyDescent="0.25">
      <c r="A97" s="35">
        <v>95</v>
      </c>
      <c r="B97" s="34" t="s">
        <v>17904</v>
      </c>
      <c r="C97" s="35"/>
      <c r="D97" s="34" t="s">
        <v>17610</v>
      </c>
      <c r="E97" s="34" t="s">
        <v>17611</v>
      </c>
      <c r="F97" s="34" t="s">
        <v>17614</v>
      </c>
      <c r="G97" s="34" t="s">
        <v>17615</v>
      </c>
      <c r="H97" s="34" t="s">
        <v>17616</v>
      </c>
      <c r="I97" s="35">
        <v>1</v>
      </c>
      <c r="J97" s="34" t="s">
        <v>17905</v>
      </c>
      <c r="K97" s="35"/>
      <c r="L97" s="34" t="s">
        <v>17553</v>
      </c>
      <c r="M97" s="35" t="s">
        <v>9</v>
      </c>
      <c r="N97" s="34" t="s">
        <v>2655</v>
      </c>
      <c r="O97" s="35" t="s">
        <v>816</v>
      </c>
      <c r="P97" s="35" t="s">
        <v>2711</v>
      </c>
    </row>
    <row r="98" spans="1:16" ht="13.2" customHeight="1" x14ac:dyDescent="0.25">
      <c r="A98" s="35">
        <v>96</v>
      </c>
      <c r="B98" s="34" t="s">
        <v>17906</v>
      </c>
      <c r="C98" s="35"/>
      <c r="D98" s="34" t="s">
        <v>17615</v>
      </c>
      <c r="E98" s="34" t="s">
        <v>17616</v>
      </c>
      <c r="F98" s="34" t="s">
        <v>17603</v>
      </c>
      <c r="G98" s="34" t="s">
        <v>17604</v>
      </c>
      <c r="H98" s="34" t="s">
        <v>17605</v>
      </c>
      <c r="I98" s="35">
        <v>1</v>
      </c>
      <c r="J98" s="34" t="s">
        <v>17907</v>
      </c>
      <c r="K98" s="35"/>
      <c r="L98" s="34" t="s">
        <v>8262</v>
      </c>
      <c r="M98" s="35" t="s">
        <v>9</v>
      </c>
      <c r="N98" s="34" t="s">
        <v>17908</v>
      </c>
      <c r="O98" s="35" t="s">
        <v>816</v>
      </c>
      <c r="P98" s="35" t="s">
        <v>2711</v>
      </c>
    </row>
    <row r="99" spans="1:16" ht="13.2" customHeight="1" x14ac:dyDescent="0.25">
      <c r="A99" s="35">
        <v>97</v>
      </c>
      <c r="B99" s="34" t="s">
        <v>17909</v>
      </c>
      <c r="C99" s="35"/>
      <c r="D99" s="34" t="s">
        <v>17910</v>
      </c>
      <c r="E99" s="34" t="s">
        <v>17911</v>
      </c>
      <c r="F99" s="34" t="s">
        <v>17912</v>
      </c>
      <c r="G99" s="34" t="s">
        <v>17609</v>
      </c>
      <c r="H99" s="34" t="s">
        <v>17610</v>
      </c>
      <c r="I99" s="35">
        <v>1</v>
      </c>
      <c r="J99" s="34" t="s">
        <v>17913</v>
      </c>
      <c r="K99" s="35"/>
      <c r="L99" s="34" t="s">
        <v>8262</v>
      </c>
      <c r="M99" s="35" t="s">
        <v>9</v>
      </c>
      <c r="N99" s="34" t="s">
        <v>3918</v>
      </c>
      <c r="O99" s="35" t="s">
        <v>816</v>
      </c>
      <c r="P99" s="35" t="s">
        <v>2711</v>
      </c>
    </row>
    <row r="100" spans="1:16" ht="13.2" customHeight="1" x14ac:dyDescent="0.25">
      <c r="A100" s="35">
        <v>98</v>
      </c>
      <c r="B100" s="34" t="s">
        <v>17914</v>
      </c>
      <c r="C100" s="35"/>
      <c r="D100" s="34" t="s">
        <v>17609</v>
      </c>
      <c r="E100" s="34" t="s">
        <v>17610</v>
      </c>
      <c r="F100" s="34" t="s">
        <v>17611</v>
      </c>
      <c r="G100" s="34" t="s">
        <v>17614</v>
      </c>
      <c r="H100" s="34" t="s">
        <v>17615</v>
      </c>
      <c r="I100" s="35">
        <v>4</v>
      </c>
      <c r="J100" s="34" t="s">
        <v>17915</v>
      </c>
      <c r="K100" s="35"/>
      <c r="L100" s="34" t="s">
        <v>8262</v>
      </c>
      <c r="M100" s="35" t="s">
        <v>9</v>
      </c>
      <c r="N100" s="34" t="s">
        <v>1669</v>
      </c>
      <c r="O100" s="35" t="s">
        <v>816</v>
      </c>
      <c r="P100" s="35" t="s">
        <v>2711</v>
      </c>
    </row>
    <row r="101" spans="1:16" ht="13.2" customHeight="1" x14ac:dyDescent="0.25">
      <c r="A101" s="35">
        <v>99</v>
      </c>
      <c r="B101" s="34" t="s">
        <v>3159</v>
      </c>
      <c r="C101" s="35"/>
      <c r="D101" s="34" t="s">
        <v>17614</v>
      </c>
      <c r="E101" s="34" t="s">
        <v>17615</v>
      </c>
      <c r="F101" s="34" t="s">
        <v>17616</v>
      </c>
      <c r="G101" s="34" t="s">
        <v>17603</v>
      </c>
      <c r="H101" s="34" t="s">
        <v>17604</v>
      </c>
      <c r="I101" s="35">
        <v>1</v>
      </c>
      <c r="J101" s="34" t="s">
        <v>17916</v>
      </c>
      <c r="K101" s="35"/>
      <c r="L101" s="34" t="s">
        <v>17553</v>
      </c>
      <c r="M101" s="35" t="s">
        <v>9</v>
      </c>
      <c r="N101" s="34" t="s">
        <v>3936</v>
      </c>
      <c r="O101" s="35" t="s">
        <v>816</v>
      </c>
      <c r="P101" s="35" t="s">
        <v>2711</v>
      </c>
    </row>
    <row r="102" spans="1:16" ht="13.2" customHeight="1" x14ac:dyDescent="0.25">
      <c r="A102" s="35">
        <v>100</v>
      </c>
      <c r="B102" s="34" t="s">
        <v>17917</v>
      </c>
      <c r="C102" s="35"/>
      <c r="D102" s="34" t="s">
        <v>17603</v>
      </c>
      <c r="E102" s="34" t="s">
        <v>17604</v>
      </c>
      <c r="F102" s="34" t="s">
        <v>17605</v>
      </c>
      <c r="G102" s="34" t="s">
        <v>17606</v>
      </c>
      <c r="H102" s="34" t="s">
        <v>17609</v>
      </c>
      <c r="I102" s="35">
        <v>1</v>
      </c>
      <c r="J102" s="34" t="s">
        <v>17918</v>
      </c>
      <c r="K102" s="35"/>
      <c r="L102" s="34" t="s">
        <v>17553</v>
      </c>
      <c r="M102" s="35" t="s">
        <v>9</v>
      </c>
      <c r="N102" s="34" t="s">
        <v>3887</v>
      </c>
      <c r="O102" s="35" t="s">
        <v>816</v>
      </c>
      <c r="P102" s="35" t="s">
        <v>2711</v>
      </c>
    </row>
    <row r="103" spans="1:16" ht="13.2" customHeight="1" x14ac:dyDescent="0.25">
      <c r="A103" s="35">
        <v>101</v>
      </c>
      <c r="B103" s="34" t="s">
        <v>17919</v>
      </c>
      <c r="C103" s="35"/>
      <c r="D103" s="34" t="s">
        <v>17920</v>
      </c>
      <c r="E103" s="34" t="s">
        <v>17921</v>
      </c>
      <c r="F103" s="34" t="s">
        <v>17610</v>
      </c>
      <c r="G103" s="34" t="s">
        <v>17611</v>
      </c>
      <c r="H103" s="34" t="s">
        <v>17614</v>
      </c>
      <c r="I103" s="35">
        <v>2</v>
      </c>
      <c r="J103" s="34" t="s">
        <v>17922</v>
      </c>
      <c r="K103" s="35"/>
      <c r="L103" s="34" t="s">
        <v>17553</v>
      </c>
      <c r="M103" s="35" t="s">
        <v>9</v>
      </c>
      <c r="N103" s="34" t="s">
        <v>1669</v>
      </c>
      <c r="O103" s="35" t="s">
        <v>816</v>
      </c>
      <c r="P103" s="35" t="s">
        <v>2711</v>
      </c>
    </row>
    <row r="104" spans="1:16" ht="13.2" customHeight="1" x14ac:dyDescent="0.25">
      <c r="A104" s="35">
        <v>102</v>
      </c>
      <c r="B104" s="34" t="s">
        <v>17923</v>
      </c>
      <c r="C104" s="35"/>
      <c r="D104" s="34" t="s">
        <v>17611</v>
      </c>
      <c r="E104" s="34" t="s">
        <v>17614</v>
      </c>
      <c r="F104" s="34" t="s">
        <v>17615</v>
      </c>
      <c r="G104" s="34" t="s">
        <v>17616</v>
      </c>
      <c r="H104" s="34" t="s">
        <v>17603</v>
      </c>
      <c r="I104" s="35">
        <v>1</v>
      </c>
      <c r="J104" s="34" t="s">
        <v>17784</v>
      </c>
      <c r="K104" s="35"/>
      <c r="L104" s="34" t="s">
        <v>17553</v>
      </c>
      <c r="M104" s="35" t="s">
        <v>9</v>
      </c>
      <c r="N104" s="34" t="s">
        <v>3887</v>
      </c>
      <c r="O104" s="35" t="s">
        <v>816</v>
      </c>
      <c r="P104" s="35" t="s">
        <v>2711</v>
      </c>
    </row>
    <row r="105" spans="1:16" ht="13.2" customHeight="1" x14ac:dyDescent="0.25">
      <c r="A105" s="35">
        <v>103</v>
      </c>
      <c r="B105" s="34" t="s">
        <v>17924</v>
      </c>
      <c r="C105" s="35"/>
      <c r="D105" s="34" t="s">
        <v>17616</v>
      </c>
      <c r="E105" s="34" t="s">
        <v>17603</v>
      </c>
      <c r="F105" s="34" t="s">
        <v>17604</v>
      </c>
      <c r="G105" s="34" t="s">
        <v>17605</v>
      </c>
      <c r="H105" s="34" t="s">
        <v>17606</v>
      </c>
      <c r="I105" s="35">
        <v>1</v>
      </c>
      <c r="J105" s="34" t="s">
        <v>17902</v>
      </c>
      <c r="K105" s="35"/>
      <c r="L105" s="34" t="s">
        <v>17553</v>
      </c>
      <c r="M105" s="35" t="s">
        <v>9</v>
      </c>
      <c r="N105" s="34" t="s">
        <v>1669</v>
      </c>
      <c r="O105" s="35" t="s">
        <v>816</v>
      </c>
      <c r="P105" s="35" t="s">
        <v>2711</v>
      </c>
    </row>
    <row r="106" spans="1:16" ht="13.2" customHeight="1" x14ac:dyDescent="0.25">
      <c r="A106" s="35">
        <v>104</v>
      </c>
      <c r="B106" s="34" t="s">
        <v>17925</v>
      </c>
      <c r="C106" s="35"/>
      <c r="D106" s="34" t="s">
        <v>17605</v>
      </c>
      <c r="E106" s="34" t="s">
        <v>17606</v>
      </c>
      <c r="F106" s="34" t="s">
        <v>17609</v>
      </c>
      <c r="G106" s="34" t="s">
        <v>17610</v>
      </c>
      <c r="H106" s="34" t="s">
        <v>17611</v>
      </c>
      <c r="I106" s="35">
        <v>2</v>
      </c>
      <c r="J106" s="34" t="s">
        <v>17926</v>
      </c>
      <c r="K106" s="35"/>
      <c r="L106" s="34" t="s">
        <v>17624</v>
      </c>
      <c r="M106" s="35" t="s">
        <v>9</v>
      </c>
      <c r="N106" s="34" t="s">
        <v>1669</v>
      </c>
      <c r="O106" s="35" t="s">
        <v>816</v>
      </c>
      <c r="P106" s="35" t="s">
        <v>2711</v>
      </c>
    </row>
    <row r="107" spans="1:16" ht="13.2" customHeight="1" x14ac:dyDescent="0.25">
      <c r="A107" s="35">
        <v>105</v>
      </c>
      <c r="B107" s="34" t="s">
        <v>17927</v>
      </c>
      <c r="C107" s="35"/>
      <c r="D107" s="34" t="s">
        <v>17610</v>
      </c>
      <c r="E107" s="34" t="s">
        <v>17611</v>
      </c>
      <c r="F107" s="34" t="s">
        <v>17614</v>
      </c>
      <c r="G107" s="34" t="s">
        <v>17615</v>
      </c>
      <c r="H107" s="34" t="s">
        <v>17616</v>
      </c>
      <c r="I107" s="35">
        <v>1</v>
      </c>
      <c r="J107" s="34" t="s">
        <v>17928</v>
      </c>
      <c r="K107" s="35"/>
      <c r="L107" s="34" t="s">
        <v>17624</v>
      </c>
      <c r="M107" s="35" t="s">
        <v>9</v>
      </c>
      <c r="N107" s="34" t="s">
        <v>3936</v>
      </c>
      <c r="O107" s="35" t="s">
        <v>816</v>
      </c>
      <c r="P107" s="35" t="s">
        <v>2711</v>
      </c>
    </row>
    <row r="108" spans="1:16" ht="13.2" customHeight="1" x14ac:dyDescent="0.25">
      <c r="A108" s="35">
        <v>106</v>
      </c>
      <c r="B108" s="34" t="s">
        <v>17929</v>
      </c>
      <c r="C108" s="35"/>
      <c r="D108" s="34" t="s">
        <v>17615</v>
      </c>
      <c r="E108" s="34" t="s">
        <v>17616</v>
      </c>
      <c r="F108" s="34" t="s">
        <v>17603</v>
      </c>
      <c r="G108" s="34" t="s">
        <v>17604</v>
      </c>
      <c r="H108" s="34" t="s">
        <v>17605</v>
      </c>
      <c r="I108" s="35">
        <v>1</v>
      </c>
      <c r="J108" s="34" t="s">
        <v>17930</v>
      </c>
      <c r="K108" s="35"/>
      <c r="L108" s="34" t="s">
        <v>17624</v>
      </c>
      <c r="M108" s="35" t="s">
        <v>9</v>
      </c>
      <c r="N108" s="34" t="s">
        <v>3900</v>
      </c>
      <c r="O108" s="35" t="s">
        <v>816</v>
      </c>
      <c r="P108" s="35" t="s">
        <v>2711</v>
      </c>
    </row>
    <row r="109" spans="1:16" ht="13.2" customHeight="1" x14ac:dyDescent="0.25">
      <c r="A109" s="35">
        <v>107</v>
      </c>
      <c r="B109" s="34" t="s">
        <v>17931</v>
      </c>
      <c r="C109" s="35"/>
      <c r="D109" s="34" t="s">
        <v>17604</v>
      </c>
      <c r="E109" s="34" t="s">
        <v>17605</v>
      </c>
      <c r="F109" s="34" t="s">
        <v>17606</v>
      </c>
      <c r="G109" s="34" t="s">
        <v>17609</v>
      </c>
      <c r="H109" s="34" t="s">
        <v>17610</v>
      </c>
      <c r="I109" s="35">
        <v>1</v>
      </c>
      <c r="J109" s="34" t="s">
        <v>17932</v>
      </c>
      <c r="K109" s="35"/>
      <c r="L109" s="34" t="s">
        <v>17624</v>
      </c>
      <c r="M109" s="35" t="s">
        <v>9</v>
      </c>
      <c r="N109" s="34" t="s">
        <v>2655</v>
      </c>
      <c r="O109" s="35" t="s">
        <v>816</v>
      </c>
      <c r="P109" s="35" t="s">
        <v>2711</v>
      </c>
    </row>
    <row r="110" spans="1:16" ht="13.2" customHeight="1" x14ac:dyDescent="0.25">
      <c r="A110" s="35">
        <v>108</v>
      </c>
      <c r="B110" s="34" t="s">
        <v>17933</v>
      </c>
      <c r="C110" s="35"/>
      <c r="D110" s="34" t="s">
        <v>17609</v>
      </c>
      <c r="E110" s="34" t="s">
        <v>17610</v>
      </c>
      <c r="F110" s="34" t="s">
        <v>17611</v>
      </c>
      <c r="G110" s="34" t="s">
        <v>17614</v>
      </c>
      <c r="H110" s="34" t="s">
        <v>17615</v>
      </c>
      <c r="I110" s="35">
        <v>1</v>
      </c>
      <c r="J110" s="34" t="s">
        <v>17896</v>
      </c>
      <c r="K110" s="35"/>
      <c r="L110" s="34" t="s">
        <v>17624</v>
      </c>
      <c r="M110" s="35" t="s">
        <v>9</v>
      </c>
      <c r="N110" s="34" t="s">
        <v>3887</v>
      </c>
      <c r="O110" s="35" t="s">
        <v>816</v>
      </c>
      <c r="P110" s="35" t="s">
        <v>2711</v>
      </c>
    </row>
    <row r="111" spans="1:16" ht="13.2" customHeight="1" x14ac:dyDescent="0.25">
      <c r="A111" s="35">
        <v>109</v>
      </c>
      <c r="B111" s="34" t="s">
        <v>17934</v>
      </c>
      <c r="C111" s="35"/>
      <c r="D111" s="34" t="s">
        <v>17614</v>
      </c>
      <c r="E111" s="34" t="s">
        <v>17615</v>
      </c>
      <c r="F111" s="34" t="s">
        <v>17616</v>
      </c>
      <c r="G111" s="34" t="s">
        <v>17603</v>
      </c>
      <c r="H111" s="34" t="s">
        <v>17604</v>
      </c>
      <c r="I111" s="35">
        <v>5</v>
      </c>
      <c r="J111" s="34" t="s">
        <v>17898</v>
      </c>
      <c r="K111" s="35"/>
      <c r="L111" s="34" t="s">
        <v>17624</v>
      </c>
      <c r="M111" s="35" t="s">
        <v>9</v>
      </c>
      <c r="N111" s="34" t="s">
        <v>1669</v>
      </c>
      <c r="O111" s="35" t="s">
        <v>816</v>
      </c>
      <c r="P111" s="35" t="s">
        <v>2711</v>
      </c>
    </row>
    <row r="112" spans="1:16" ht="13.2" customHeight="1" x14ac:dyDescent="0.25">
      <c r="A112" s="35">
        <v>110</v>
      </c>
      <c r="B112" s="34" t="s">
        <v>17935</v>
      </c>
      <c r="C112" s="35"/>
      <c r="D112" s="34" t="s">
        <v>17603</v>
      </c>
      <c r="E112" s="34" t="s">
        <v>17604</v>
      </c>
      <c r="F112" s="34" t="s">
        <v>17605</v>
      </c>
      <c r="G112" s="34" t="s">
        <v>17606</v>
      </c>
      <c r="H112" s="34" t="s">
        <v>17609</v>
      </c>
      <c r="I112" s="35">
        <v>1</v>
      </c>
      <c r="J112" s="34" t="s">
        <v>17861</v>
      </c>
      <c r="K112" s="35"/>
      <c r="L112" s="34" t="s">
        <v>17624</v>
      </c>
      <c r="M112" s="35" t="s">
        <v>9</v>
      </c>
      <c r="N112" s="34" t="s">
        <v>3936</v>
      </c>
      <c r="O112" s="35" t="s">
        <v>816</v>
      </c>
      <c r="P112" s="35" t="s">
        <v>2711</v>
      </c>
    </row>
    <row r="113" spans="1:16" ht="13.2" customHeight="1" x14ac:dyDescent="0.25">
      <c r="A113" s="35">
        <v>111</v>
      </c>
      <c r="B113" s="34" t="s">
        <v>17936</v>
      </c>
      <c r="C113" s="35"/>
      <c r="D113" s="34" t="s">
        <v>17606</v>
      </c>
      <c r="E113" s="34" t="s">
        <v>17609</v>
      </c>
      <c r="F113" s="34" t="s">
        <v>17610</v>
      </c>
      <c r="G113" s="34" t="s">
        <v>17611</v>
      </c>
      <c r="H113" s="34" t="s">
        <v>17614</v>
      </c>
      <c r="I113" s="35">
        <v>1</v>
      </c>
      <c r="J113" s="34" t="s">
        <v>17937</v>
      </c>
      <c r="K113" s="35"/>
      <c r="L113" s="34" t="s">
        <v>17624</v>
      </c>
      <c r="M113" s="35" t="s">
        <v>9</v>
      </c>
      <c r="N113" s="34" t="s">
        <v>2655</v>
      </c>
      <c r="O113" s="35" t="s">
        <v>816</v>
      </c>
      <c r="P113" s="35" t="s">
        <v>2711</v>
      </c>
    </row>
    <row r="114" spans="1:16" ht="13.2" customHeight="1" x14ac:dyDescent="0.25">
      <c r="A114" s="35">
        <v>112</v>
      </c>
      <c r="B114" s="34" t="s">
        <v>17938</v>
      </c>
      <c r="C114" s="35"/>
      <c r="D114" s="34" t="s">
        <v>17611</v>
      </c>
      <c r="E114" s="34" t="s">
        <v>17614</v>
      </c>
      <c r="F114" s="34" t="s">
        <v>17615</v>
      </c>
      <c r="G114" s="34" t="s">
        <v>17616</v>
      </c>
      <c r="H114" s="34" t="s">
        <v>17603</v>
      </c>
      <c r="I114" s="35">
        <v>4</v>
      </c>
      <c r="J114" s="34" t="s">
        <v>17939</v>
      </c>
      <c r="K114" s="35"/>
      <c r="L114" s="34" t="s">
        <v>17624</v>
      </c>
      <c r="M114" s="35" t="s">
        <v>9</v>
      </c>
      <c r="N114" s="34" t="s">
        <v>1669</v>
      </c>
      <c r="O114" s="35" t="s">
        <v>816</v>
      </c>
      <c r="P114" s="35" t="s">
        <v>2711</v>
      </c>
    </row>
    <row r="115" spans="1:16" ht="13.2" customHeight="1" x14ac:dyDescent="0.25">
      <c r="A115" s="35">
        <v>113</v>
      </c>
      <c r="B115" s="34" t="s">
        <v>17940</v>
      </c>
      <c r="C115" s="35"/>
      <c r="D115" s="34" t="s">
        <v>17616</v>
      </c>
      <c r="E115" s="34" t="s">
        <v>17603</v>
      </c>
      <c r="F115" s="34" t="s">
        <v>17604</v>
      </c>
      <c r="G115" s="34" t="s">
        <v>17605</v>
      </c>
      <c r="H115" s="34" t="s">
        <v>17606</v>
      </c>
      <c r="I115" s="35">
        <v>1</v>
      </c>
      <c r="J115" s="34" t="s">
        <v>17902</v>
      </c>
      <c r="K115" s="35"/>
      <c r="L115" s="34" t="s">
        <v>17553</v>
      </c>
      <c r="M115" s="35" t="s">
        <v>9</v>
      </c>
      <c r="N115" s="34" t="s">
        <v>3936</v>
      </c>
      <c r="O115" s="35" t="s">
        <v>816</v>
      </c>
      <c r="P115" s="35" t="s">
        <v>2711</v>
      </c>
    </row>
    <row r="116" spans="1:16" ht="13.2" customHeight="1" x14ac:dyDescent="0.25">
      <c r="A116" s="35">
        <v>114</v>
      </c>
      <c r="B116" s="34" t="s">
        <v>17941</v>
      </c>
      <c r="C116" s="35"/>
      <c r="D116" s="34" t="s">
        <v>17605</v>
      </c>
      <c r="E116" s="34" t="s">
        <v>17606</v>
      </c>
      <c r="F116" s="34" t="s">
        <v>17609</v>
      </c>
      <c r="G116" s="34" t="s">
        <v>17610</v>
      </c>
      <c r="H116" s="34" t="s">
        <v>17611</v>
      </c>
      <c r="I116" s="35">
        <v>1</v>
      </c>
      <c r="J116" s="34" t="s">
        <v>17873</v>
      </c>
      <c r="K116" s="35"/>
      <c r="L116" s="34" t="s">
        <v>17553</v>
      </c>
      <c r="M116" s="35" t="s">
        <v>9</v>
      </c>
      <c r="N116" s="34" t="s">
        <v>3887</v>
      </c>
      <c r="O116" s="35" t="s">
        <v>816</v>
      </c>
      <c r="P116" s="35" t="s">
        <v>2711</v>
      </c>
    </row>
    <row r="117" spans="1:16" ht="13.2" customHeight="1" x14ac:dyDescent="0.25">
      <c r="A117" s="35">
        <v>115</v>
      </c>
      <c r="B117" s="34" t="s">
        <v>17942</v>
      </c>
      <c r="C117" s="35"/>
      <c r="D117" s="34" t="s">
        <v>17610</v>
      </c>
      <c r="E117" s="34" t="s">
        <v>17611</v>
      </c>
      <c r="F117" s="34" t="s">
        <v>17614</v>
      </c>
      <c r="G117" s="34" t="s">
        <v>17615</v>
      </c>
      <c r="H117" s="34" t="s">
        <v>17616</v>
      </c>
      <c r="I117" s="35">
        <v>1</v>
      </c>
      <c r="J117" s="34" t="s">
        <v>17905</v>
      </c>
      <c r="K117" s="35"/>
      <c r="L117" s="34" t="s">
        <v>17553</v>
      </c>
      <c r="M117" s="35" t="s">
        <v>9</v>
      </c>
      <c r="N117" s="34" t="s">
        <v>1669</v>
      </c>
      <c r="O117" s="35" t="s">
        <v>816</v>
      </c>
      <c r="P117" s="35" t="s">
        <v>2711</v>
      </c>
    </row>
    <row r="118" spans="1:16" ht="13.2" customHeight="1" x14ac:dyDescent="0.25">
      <c r="A118" s="35">
        <v>116</v>
      </c>
      <c r="B118" s="34" t="s">
        <v>17943</v>
      </c>
      <c r="C118" s="35"/>
      <c r="D118" s="34" t="s">
        <v>17615</v>
      </c>
      <c r="E118" s="34" t="s">
        <v>17616</v>
      </c>
      <c r="F118" s="34" t="s">
        <v>17603</v>
      </c>
      <c r="G118" s="34" t="s">
        <v>17604</v>
      </c>
      <c r="H118" s="34" t="s">
        <v>17605</v>
      </c>
      <c r="I118" s="35">
        <v>1</v>
      </c>
      <c r="J118" s="34" t="s">
        <v>17930</v>
      </c>
      <c r="K118" s="35"/>
      <c r="L118" s="34" t="s">
        <v>17624</v>
      </c>
      <c r="M118" s="35" t="s">
        <v>9</v>
      </c>
      <c r="N118" s="34" t="s">
        <v>3936</v>
      </c>
      <c r="O118" s="35" t="s">
        <v>816</v>
      </c>
      <c r="P118" s="35" t="s">
        <v>2711</v>
      </c>
    </row>
    <row r="119" spans="1:16" ht="13.2" customHeight="1" x14ac:dyDescent="0.25">
      <c r="A119" s="35">
        <v>117</v>
      </c>
      <c r="B119" s="34" t="s">
        <v>17944</v>
      </c>
      <c r="C119" s="35"/>
      <c r="D119" s="34" t="s">
        <v>17604</v>
      </c>
      <c r="E119" s="34" t="s">
        <v>17605</v>
      </c>
      <c r="F119" s="34" t="s">
        <v>17606</v>
      </c>
      <c r="G119" s="34" t="s">
        <v>17609</v>
      </c>
      <c r="H119" s="34" t="s">
        <v>17610</v>
      </c>
      <c r="I119" s="35">
        <v>1</v>
      </c>
      <c r="J119" s="34" t="s">
        <v>17945</v>
      </c>
      <c r="K119" s="35"/>
      <c r="L119" s="34" t="s">
        <v>17523</v>
      </c>
      <c r="M119" s="35" t="s">
        <v>9</v>
      </c>
      <c r="N119" s="34" t="s">
        <v>9946</v>
      </c>
      <c r="O119" s="35" t="s">
        <v>816</v>
      </c>
      <c r="P119" s="35" t="s">
        <v>2711</v>
      </c>
    </row>
    <row r="120" spans="1:16" ht="13.2" customHeight="1" x14ac:dyDescent="0.25">
      <c r="A120" s="35">
        <v>118</v>
      </c>
      <c r="B120" s="34" t="s">
        <v>17946</v>
      </c>
      <c r="C120" s="35"/>
      <c r="D120" s="34" t="s">
        <v>17609</v>
      </c>
      <c r="E120" s="34" t="s">
        <v>17610</v>
      </c>
      <c r="F120" s="34" t="s">
        <v>17611</v>
      </c>
      <c r="G120" s="34" t="s">
        <v>17614</v>
      </c>
      <c r="H120" s="34" t="s">
        <v>17615</v>
      </c>
      <c r="I120" s="35">
        <v>1</v>
      </c>
      <c r="J120" s="34" t="s">
        <v>17896</v>
      </c>
      <c r="K120" s="35"/>
      <c r="L120" s="34" t="s">
        <v>17624</v>
      </c>
      <c r="M120" s="35" t="s">
        <v>9</v>
      </c>
      <c r="N120" s="34" t="s">
        <v>3936</v>
      </c>
      <c r="O120" s="35" t="s">
        <v>816</v>
      </c>
      <c r="P120" s="35" t="s">
        <v>2711</v>
      </c>
    </row>
    <row r="121" spans="1:16" ht="13.2" customHeight="1" x14ac:dyDescent="0.25">
      <c r="A121" s="35">
        <v>119</v>
      </c>
      <c r="B121" s="34" t="s">
        <v>17947</v>
      </c>
      <c r="C121" s="35"/>
      <c r="D121" s="34" t="s">
        <v>17614</v>
      </c>
      <c r="E121" s="34" t="s">
        <v>17615</v>
      </c>
      <c r="F121" s="34" t="s">
        <v>17616</v>
      </c>
      <c r="G121" s="34" t="s">
        <v>17603</v>
      </c>
      <c r="H121" s="34" t="s">
        <v>17604</v>
      </c>
      <c r="I121" s="35">
        <v>1</v>
      </c>
      <c r="J121" s="34" t="s">
        <v>17825</v>
      </c>
      <c r="K121" s="35"/>
      <c r="L121" s="34" t="s">
        <v>8262</v>
      </c>
      <c r="M121" s="35" t="s">
        <v>9</v>
      </c>
      <c r="N121" s="34" t="s">
        <v>3900</v>
      </c>
      <c r="O121" s="35" t="s">
        <v>816</v>
      </c>
      <c r="P121" s="35" t="s">
        <v>2711</v>
      </c>
    </row>
    <row r="122" spans="1:16" ht="13.2" customHeight="1" x14ac:dyDescent="0.25">
      <c r="A122" s="35">
        <v>120</v>
      </c>
      <c r="B122" s="34" t="s">
        <v>17948</v>
      </c>
      <c r="C122" s="35"/>
      <c r="D122" s="34" t="s">
        <v>17603</v>
      </c>
      <c r="E122" s="34" t="s">
        <v>17604</v>
      </c>
      <c r="F122" s="34" t="s">
        <v>17605</v>
      </c>
      <c r="G122" s="34" t="s">
        <v>17606</v>
      </c>
      <c r="H122" s="34" t="s">
        <v>17609</v>
      </c>
      <c r="I122" s="35">
        <v>3</v>
      </c>
      <c r="J122" s="34" t="s">
        <v>17949</v>
      </c>
      <c r="K122" s="35"/>
      <c r="L122" s="34" t="s">
        <v>17553</v>
      </c>
      <c r="M122" s="35" t="s">
        <v>9</v>
      </c>
      <c r="N122" s="34" t="s">
        <v>12150</v>
      </c>
      <c r="O122" s="35" t="s">
        <v>816</v>
      </c>
      <c r="P122" s="35" t="s">
        <v>2711</v>
      </c>
    </row>
    <row r="123" spans="1:16" ht="13.2" customHeight="1" x14ac:dyDescent="0.25">
      <c r="A123" s="35">
        <v>121</v>
      </c>
      <c r="B123" s="34" t="s">
        <v>17950</v>
      </c>
      <c r="C123" s="35"/>
      <c r="D123" s="34" t="s">
        <v>17606</v>
      </c>
      <c r="E123" s="34" t="s">
        <v>17609</v>
      </c>
      <c r="F123" s="34" t="s">
        <v>17610</v>
      </c>
      <c r="G123" s="34" t="s">
        <v>17611</v>
      </c>
      <c r="H123" s="34" t="s">
        <v>17614</v>
      </c>
      <c r="I123" s="35">
        <v>1</v>
      </c>
      <c r="J123" s="34" t="s">
        <v>17806</v>
      </c>
      <c r="K123" s="35"/>
      <c r="L123" s="34" t="s">
        <v>8262</v>
      </c>
      <c r="M123" s="35" t="s">
        <v>9</v>
      </c>
      <c r="N123" s="34" t="s">
        <v>10589</v>
      </c>
      <c r="O123" s="35" t="s">
        <v>816</v>
      </c>
      <c r="P123" s="35" t="s">
        <v>2711</v>
      </c>
    </row>
    <row r="124" spans="1:16" ht="13.2" customHeight="1" x14ac:dyDescent="0.25">
      <c r="A124" s="35">
        <v>122</v>
      </c>
      <c r="B124" s="34" t="s">
        <v>17951</v>
      </c>
      <c r="C124" s="35"/>
      <c r="D124" s="34" t="s">
        <v>17611</v>
      </c>
      <c r="E124" s="34" t="s">
        <v>17614</v>
      </c>
      <c r="F124" s="34" t="s">
        <v>17615</v>
      </c>
      <c r="G124" s="34" t="s">
        <v>17616</v>
      </c>
      <c r="H124" s="34" t="s">
        <v>17603</v>
      </c>
      <c r="I124" s="35">
        <v>2</v>
      </c>
      <c r="J124" s="34" t="s">
        <v>17952</v>
      </c>
      <c r="K124" s="35"/>
      <c r="L124" s="34" t="s">
        <v>17553</v>
      </c>
      <c r="M124" s="35" t="s">
        <v>9</v>
      </c>
      <c r="N124" s="34" t="s">
        <v>1669</v>
      </c>
      <c r="O124" s="35" t="s">
        <v>816</v>
      </c>
      <c r="P124" s="35" t="s">
        <v>2711</v>
      </c>
    </row>
    <row r="125" spans="1:16" ht="13.2" customHeight="1" x14ac:dyDescent="0.25">
      <c r="A125" s="35">
        <v>123</v>
      </c>
      <c r="B125" s="34" t="s">
        <v>17953</v>
      </c>
      <c r="C125" s="35"/>
      <c r="D125" s="34" t="s">
        <v>17616</v>
      </c>
      <c r="E125" s="34" t="s">
        <v>17603</v>
      </c>
      <c r="F125" s="34" t="s">
        <v>17604</v>
      </c>
      <c r="G125" s="34" t="s">
        <v>17605</v>
      </c>
      <c r="H125" s="34" t="s">
        <v>17606</v>
      </c>
      <c r="I125" s="35">
        <v>1</v>
      </c>
      <c r="J125" s="34" t="s">
        <v>17902</v>
      </c>
      <c r="K125" s="35"/>
      <c r="L125" s="34" t="s">
        <v>17553</v>
      </c>
      <c r="M125" s="35" t="s">
        <v>9</v>
      </c>
      <c r="N125" s="34" t="s">
        <v>2655</v>
      </c>
      <c r="O125" s="35" t="s">
        <v>816</v>
      </c>
      <c r="P125" s="35" t="s">
        <v>2711</v>
      </c>
    </row>
    <row r="126" spans="1:16" ht="13.2" customHeight="1" x14ac:dyDescent="0.25">
      <c r="A126" s="35">
        <v>124</v>
      </c>
      <c r="B126" s="34" t="s">
        <v>17954</v>
      </c>
      <c r="C126" s="35"/>
      <c r="D126" s="34" t="s">
        <v>17605</v>
      </c>
      <c r="E126" s="34" t="s">
        <v>17606</v>
      </c>
      <c r="F126" s="34" t="s">
        <v>17609</v>
      </c>
      <c r="G126" s="34" t="s">
        <v>17610</v>
      </c>
      <c r="H126" s="34" t="s">
        <v>17611</v>
      </c>
      <c r="I126" s="35">
        <v>1</v>
      </c>
      <c r="J126" s="34" t="s">
        <v>17873</v>
      </c>
      <c r="K126" s="35"/>
      <c r="L126" s="34" t="s">
        <v>17553</v>
      </c>
      <c r="M126" s="35" t="s">
        <v>9</v>
      </c>
      <c r="N126" s="34" t="s">
        <v>3887</v>
      </c>
      <c r="O126" s="35" t="s">
        <v>816</v>
      </c>
      <c r="P126" s="35" t="s">
        <v>2711</v>
      </c>
    </row>
    <row r="127" spans="1:16" ht="13.2" customHeight="1" x14ac:dyDescent="0.25">
      <c r="A127" s="35">
        <v>125</v>
      </c>
      <c r="B127" s="34" t="s">
        <v>17955</v>
      </c>
      <c r="C127" s="35"/>
      <c r="D127" s="34" t="s">
        <v>17610</v>
      </c>
      <c r="E127" s="34" t="s">
        <v>17611</v>
      </c>
      <c r="F127" s="34" t="s">
        <v>17614</v>
      </c>
      <c r="G127" s="34" t="s">
        <v>17615</v>
      </c>
      <c r="H127" s="34" t="s">
        <v>17616</v>
      </c>
      <c r="I127" s="35">
        <v>1</v>
      </c>
      <c r="J127" s="34" t="s">
        <v>17905</v>
      </c>
      <c r="K127" s="35"/>
      <c r="L127" s="34" t="s">
        <v>17553</v>
      </c>
      <c r="M127" s="35" t="s">
        <v>9</v>
      </c>
      <c r="N127" s="34" t="s">
        <v>3900</v>
      </c>
      <c r="O127" s="35" t="s">
        <v>816</v>
      </c>
      <c r="P127" s="35" t="s">
        <v>2711</v>
      </c>
    </row>
    <row r="128" spans="1:16" ht="13.2" customHeight="1" x14ac:dyDescent="0.25">
      <c r="A128" s="35">
        <v>126</v>
      </c>
      <c r="B128" s="34" t="s">
        <v>17956</v>
      </c>
      <c r="C128" s="35"/>
      <c r="D128" s="34" t="s">
        <v>17957</v>
      </c>
      <c r="E128" s="34" t="s">
        <v>17616</v>
      </c>
      <c r="F128" s="34" t="s">
        <v>17603</v>
      </c>
      <c r="G128" s="34" t="s">
        <v>17604</v>
      </c>
      <c r="H128" s="34" t="s">
        <v>17605</v>
      </c>
      <c r="I128" s="35">
        <v>1</v>
      </c>
      <c r="J128" s="34" t="s">
        <v>17958</v>
      </c>
      <c r="K128" s="35"/>
      <c r="L128" s="34" t="s">
        <v>17624</v>
      </c>
      <c r="M128" s="35" t="s">
        <v>9</v>
      </c>
      <c r="N128" s="34" t="s">
        <v>3887</v>
      </c>
      <c r="O128" s="35" t="s">
        <v>816</v>
      </c>
      <c r="P128" s="35" t="s">
        <v>2711</v>
      </c>
    </row>
    <row r="129" spans="1:16" ht="13.2" customHeight="1" x14ac:dyDescent="0.25">
      <c r="A129" s="35">
        <v>127</v>
      </c>
      <c r="B129" s="34" t="s">
        <v>17959</v>
      </c>
      <c r="C129" s="35"/>
      <c r="D129" s="34" t="s">
        <v>3414</v>
      </c>
      <c r="E129" s="34" t="s">
        <v>3415</v>
      </c>
      <c r="F129" s="34" t="s">
        <v>3039</v>
      </c>
      <c r="G129" s="34" t="s">
        <v>3038</v>
      </c>
      <c r="H129" s="34" t="s">
        <v>17960</v>
      </c>
      <c r="I129" s="35">
        <v>4</v>
      </c>
      <c r="J129" s="34" t="s">
        <v>17961</v>
      </c>
      <c r="K129" s="35"/>
      <c r="L129" s="34" t="s">
        <v>17553</v>
      </c>
      <c r="M129" s="35" t="s">
        <v>9</v>
      </c>
      <c r="N129" s="34" t="s">
        <v>5089</v>
      </c>
      <c r="O129" s="35" t="s">
        <v>816</v>
      </c>
      <c r="P129" s="35" t="s">
        <v>2711</v>
      </c>
    </row>
    <row r="130" spans="1:16" ht="13.2" customHeight="1" x14ac:dyDescent="0.25">
      <c r="A130" s="35">
        <v>128</v>
      </c>
      <c r="B130" s="34" t="s">
        <v>17962</v>
      </c>
      <c r="C130" s="35"/>
      <c r="D130" s="34" t="s">
        <v>8964</v>
      </c>
      <c r="E130" s="34" t="s">
        <v>3185</v>
      </c>
      <c r="F130" s="34" t="s">
        <v>3524</v>
      </c>
      <c r="G130" s="34" t="s">
        <v>3181</v>
      </c>
      <c r="H130" s="34" t="s">
        <v>17963</v>
      </c>
      <c r="I130" s="35">
        <v>2</v>
      </c>
      <c r="J130" s="34" t="s">
        <v>17964</v>
      </c>
      <c r="K130" s="35"/>
      <c r="L130" s="34" t="s">
        <v>17553</v>
      </c>
      <c r="M130" s="35" t="s">
        <v>9</v>
      </c>
      <c r="N130" s="34" t="s">
        <v>17965</v>
      </c>
      <c r="O130" s="35" t="s">
        <v>816</v>
      </c>
      <c r="P130" s="35" t="s">
        <v>2711</v>
      </c>
    </row>
    <row r="131" spans="1:16" ht="13.2" customHeight="1" x14ac:dyDescent="0.25">
      <c r="A131" s="35">
        <v>129</v>
      </c>
      <c r="B131" s="34" t="s">
        <v>17966</v>
      </c>
      <c r="C131" s="35"/>
      <c r="D131" s="34" t="s">
        <v>17614</v>
      </c>
      <c r="E131" s="34" t="s">
        <v>17615</v>
      </c>
      <c r="F131" s="34" t="s">
        <v>17616</v>
      </c>
      <c r="G131" s="34" t="s">
        <v>17603</v>
      </c>
      <c r="H131" s="34" t="s">
        <v>17604</v>
      </c>
      <c r="I131" s="35">
        <v>1</v>
      </c>
      <c r="J131" s="34" t="s">
        <v>17859</v>
      </c>
      <c r="K131" s="35"/>
      <c r="L131" s="34" t="s">
        <v>17523</v>
      </c>
      <c r="M131" s="35" t="s">
        <v>9</v>
      </c>
      <c r="N131" s="34" t="s">
        <v>17967</v>
      </c>
      <c r="O131" s="35" t="s">
        <v>816</v>
      </c>
      <c r="P131" s="35" t="s">
        <v>2711</v>
      </c>
    </row>
    <row r="132" spans="1:16" ht="13.2" customHeight="1" x14ac:dyDescent="0.25">
      <c r="A132" s="35">
        <v>130</v>
      </c>
      <c r="B132" s="34" t="s">
        <v>17968</v>
      </c>
      <c r="C132" s="35"/>
      <c r="D132" s="34" t="s">
        <v>17969</v>
      </c>
      <c r="E132" s="34" t="s">
        <v>17970</v>
      </c>
      <c r="F132" s="34" t="s">
        <v>17971</v>
      </c>
      <c r="G132" s="34" t="s">
        <v>17972</v>
      </c>
      <c r="H132" s="34" t="s">
        <v>17973</v>
      </c>
      <c r="I132" s="35">
        <v>1</v>
      </c>
      <c r="J132" s="34" t="s">
        <v>17974</v>
      </c>
      <c r="K132" s="35"/>
      <c r="L132" s="34" t="s">
        <v>17523</v>
      </c>
      <c r="M132" s="35" t="s">
        <v>9</v>
      </c>
      <c r="N132" s="34" t="s">
        <v>17975</v>
      </c>
      <c r="O132" s="35" t="s">
        <v>816</v>
      </c>
      <c r="P132" s="35" t="s">
        <v>2711</v>
      </c>
    </row>
    <row r="133" spans="1:16" ht="13.2" customHeight="1" x14ac:dyDescent="0.25">
      <c r="A133" s="35">
        <v>131</v>
      </c>
      <c r="B133" s="34" t="s">
        <v>17976</v>
      </c>
      <c r="C133" s="35"/>
      <c r="D133" s="34" t="s">
        <v>17977</v>
      </c>
      <c r="E133" s="34" t="s">
        <v>17978</v>
      </c>
      <c r="F133" s="34" t="s">
        <v>17979</v>
      </c>
      <c r="G133" s="34" t="s">
        <v>17980</v>
      </c>
      <c r="H133" s="34" t="s">
        <v>17981</v>
      </c>
      <c r="I133" s="35">
        <v>1</v>
      </c>
      <c r="J133" s="34" t="s">
        <v>17982</v>
      </c>
      <c r="K133" s="35"/>
      <c r="L133" s="34" t="s">
        <v>17553</v>
      </c>
      <c r="M133" s="35" t="s">
        <v>9</v>
      </c>
      <c r="N133" s="34" t="s">
        <v>7564</v>
      </c>
      <c r="O133" s="35" t="s">
        <v>816</v>
      </c>
      <c r="P133" s="35" t="s">
        <v>2711</v>
      </c>
    </row>
    <row r="134" spans="1:16" ht="13.2" customHeight="1" x14ac:dyDescent="0.25">
      <c r="A134" s="35">
        <v>132</v>
      </c>
      <c r="B134" s="34" t="s">
        <v>17983</v>
      </c>
      <c r="C134" s="35"/>
      <c r="D134" s="34" t="s">
        <v>17294</v>
      </c>
      <c r="E134" s="34" t="s">
        <v>17984</v>
      </c>
      <c r="F134" s="36">
        <v>4.8611111111111112E-2</v>
      </c>
      <c r="G134" s="36">
        <v>6.25E-2</v>
      </c>
      <c r="H134" s="36">
        <v>0.1111111111111111</v>
      </c>
      <c r="I134" s="35">
        <v>1</v>
      </c>
      <c r="J134" s="34" t="s">
        <v>17985</v>
      </c>
      <c r="K134" s="35"/>
      <c r="L134" s="34" t="s">
        <v>17523</v>
      </c>
      <c r="M134" s="35" t="s">
        <v>9</v>
      </c>
      <c r="N134" s="34" t="s">
        <v>17965</v>
      </c>
      <c r="O134" s="35" t="s">
        <v>816</v>
      </c>
      <c r="P134" s="35" t="s">
        <v>2711</v>
      </c>
    </row>
    <row r="135" spans="1:16" ht="409.6" x14ac:dyDescent="0.25">
      <c r="A135" s="35">
        <v>133</v>
      </c>
      <c r="B135" s="34" t="s">
        <v>17986</v>
      </c>
      <c r="C135" s="35"/>
      <c r="D135" s="34" t="s">
        <v>17987</v>
      </c>
      <c r="E135" s="34" t="s">
        <v>17988</v>
      </c>
      <c r="F135" s="34" t="s">
        <v>17989</v>
      </c>
      <c r="G135" s="34" t="s">
        <v>17990</v>
      </c>
      <c r="H135" s="34" t="s">
        <v>17991</v>
      </c>
      <c r="I135" s="35">
        <v>1</v>
      </c>
      <c r="J135" s="34" t="s">
        <v>17992</v>
      </c>
      <c r="K135" s="35"/>
      <c r="L135" s="34" t="s">
        <v>16098</v>
      </c>
      <c r="M135" s="35" t="s">
        <v>9</v>
      </c>
      <c r="N135" s="34" t="s">
        <v>1724</v>
      </c>
      <c r="O135" s="35" t="s">
        <v>816</v>
      </c>
      <c r="P135" s="35" t="s">
        <v>669</v>
      </c>
    </row>
    <row r="136" spans="1:16" ht="409.6" x14ac:dyDescent="0.25">
      <c r="A136" s="35">
        <v>134</v>
      </c>
      <c r="B136" s="34" t="s">
        <v>17993</v>
      </c>
      <c r="C136" s="35"/>
      <c r="D136" s="34" t="s">
        <v>10288</v>
      </c>
      <c r="E136" s="34" t="s">
        <v>17994</v>
      </c>
      <c r="F136" s="34" t="s">
        <v>14897</v>
      </c>
      <c r="G136" s="34" t="s">
        <v>17995</v>
      </c>
      <c r="H136" s="34" t="s">
        <v>17996</v>
      </c>
      <c r="I136" s="35">
        <v>3</v>
      </c>
      <c r="J136" s="34" t="s">
        <v>17997</v>
      </c>
      <c r="K136" s="35"/>
      <c r="L136" s="34" t="s">
        <v>16098</v>
      </c>
      <c r="M136" s="35" t="s">
        <v>9</v>
      </c>
      <c r="N136" s="34" t="s">
        <v>10101</v>
      </c>
      <c r="O136" s="35" t="s">
        <v>816</v>
      </c>
      <c r="P136" s="35" t="s">
        <v>669</v>
      </c>
    </row>
    <row r="137" spans="1:16" ht="409.6" x14ac:dyDescent="0.25">
      <c r="A137" s="35">
        <v>135</v>
      </c>
      <c r="B137" s="34" t="s">
        <v>17998</v>
      </c>
      <c r="C137" s="35"/>
      <c r="D137" s="34" t="s">
        <v>17999</v>
      </c>
      <c r="E137" s="34" t="s">
        <v>18000</v>
      </c>
      <c r="F137" s="34" t="s">
        <v>16391</v>
      </c>
      <c r="G137" s="34" t="s">
        <v>18001</v>
      </c>
      <c r="H137" s="34" t="s">
        <v>16390</v>
      </c>
      <c r="I137" s="35">
        <v>5</v>
      </c>
      <c r="J137" s="34" t="s">
        <v>18002</v>
      </c>
      <c r="K137" s="35"/>
      <c r="L137" s="34" t="s">
        <v>16098</v>
      </c>
      <c r="M137" s="35" t="s">
        <v>9</v>
      </c>
      <c r="N137" s="34" t="s">
        <v>6503</v>
      </c>
      <c r="O137" s="35" t="s">
        <v>816</v>
      </c>
      <c r="P137" s="35" t="s">
        <v>669</v>
      </c>
    </row>
    <row r="138" spans="1:16" ht="409.6" x14ac:dyDescent="0.25">
      <c r="A138" s="35">
        <v>136</v>
      </c>
      <c r="B138" s="34" t="s">
        <v>18003</v>
      </c>
      <c r="C138" s="35"/>
      <c r="D138" s="34" t="s">
        <v>18004</v>
      </c>
      <c r="E138" s="34" t="s">
        <v>18005</v>
      </c>
      <c r="F138" s="34" t="s">
        <v>18006</v>
      </c>
      <c r="G138" s="34" t="s">
        <v>17827</v>
      </c>
      <c r="H138" s="34" t="s">
        <v>18007</v>
      </c>
      <c r="I138" s="35">
        <v>1</v>
      </c>
      <c r="J138" s="34" t="s">
        <v>18008</v>
      </c>
      <c r="K138" s="35"/>
      <c r="L138" s="34" t="s">
        <v>16098</v>
      </c>
      <c r="M138" s="35" t="s">
        <v>9</v>
      </c>
      <c r="N138" s="34" t="s">
        <v>5293</v>
      </c>
      <c r="O138" s="35" t="s">
        <v>816</v>
      </c>
      <c r="P138" s="35" t="s">
        <v>669</v>
      </c>
    </row>
    <row r="139" spans="1:16" ht="409.6" x14ac:dyDescent="0.25">
      <c r="A139" s="35">
        <v>137</v>
      </c>
      <c r="B139" s="34" t="s">
        <v>18009</v>
      </c>
      <c r="C139" s="35"/>
      <c r="D139" s="34" t="s">
        <v>18010</v>
      </c>
      <c r="E139" s="34" t="s">
        <v>18011</v>
      </c>
      <c r="F139" s="34" t="s">
        <v>18012</v>
      </c>
      <c r="G139" s="34" t="s">
        <v>18013</v>
      </c>
      <c r="H139" s="34" t="s">
        <v>15924</v>
      </c>
      <c r="I139" s="35">
        <v>5</v>
      </c>
      <c r="J139" s="34" t="s">
        <v>18014</v>
      </c>
      <c r="K139" s="35"/>
      <c r="L139" s="34" t="s">
        <v>16098</v>
      </c>
      <c r="M139" s="35" t="s">
        <v>9</v>
      </c>
      <c r="N139" s="34" t="s">
        <v>10122</v>
      </c>
      <c r="O139" s="35" t="s">
        <v>816</v>
      </c>
      <c r="P139" s="35" t="s">
        <v>669</v>
      </c>
    </row>
    <row r="140" spans="1:16" ht="409.6" x14ac:dyDescent="0.25">
      <c r="A140" s="35">
        <v>138</v>
      </c>
      <c r="B140" s="34" t="s">
        <v>18015</v>
      </c>
      <c r="C140" s="35"/>
      <c r="D140" s="34" t="s">
        <v>18016</v>
      </c>
      <c r="E140" s="34" t="s">
        <v>17741</v>
      </c>
      <c r="F140" s="34" t="s">
        <v>17742</v>
      </c>
      <c r="G140" s="34" t="s">
        <v>18017</v>
      </c>
      <c r="H140" s="34" t="s">
        <v>18018</v>
      </c>
      <c r="I140" s="35">
        <v>5</v>
      </c>
      <c r="J140" s="34" t="s">
        <v>18019</v>
      </c>
      <c r="K140" s="35"/>
      <c r="L140" s="34" t="s">
        <v>16098</v>
      </c>
      <c r="M140" s="35" t="s">
        <v>9</v>
      </c>
      <c r="N140" s="34" t="s">
        <v>801</v>
      </c>
      <c r="O140" s="35" t="s">
        <v>816</v>
      </c>
      <c r="P140" s="35" t="s">
        <v>669</v>
      </c>
    </row>
    <row r="141" spans="1:16" ht="409.6" x14ac:dyDescent="0.25">
      <c r="A141" s="35">
        <v>139</v>
      </c>
      <c r="B141" s="34" t="s">
        <v>18020</v>
      </c>
      <c r="C141" s="35"/>
      <c r="D141" s="34">
        <v>9.5</v>
      </c>
      <c r="E141" s="34">
        <v>10.75</v>
      </c>
      <c r="F141" s="34">
        <v>11.04</v>
      </c>
      <c r="G141" s="34">
        <v>12.13</v>
      </c>
      <c r="H141" s="34">
        <v>14</v>
      </c>
      <c r="I141" s="35">
        <v>1</v>
      </c>
      <c r="J141" s="34" t="s">
        <v>18021</v>
      </c>
      <c r="K141" s="35"/>
      <c r="L141" s="34" t="s">
        <v>16098</v>
      </c>
      <c r="M141" s="35" t="s">
        <v>9</v>
      </c>
      <c r="N141" s="34" t="s">
        <v>18022</v>
      </c>
      <c r="O141" s="35" t="s">
        <v>816</v>
      </c>
      <c r="P141" s="35" t="s">
        <v>669</v>
      </c>
    </row>
    <row r="142" spans="1:16" ht="409.6" x14ac:dyDescent="0.25">
      <c r="A142" s="35">
        <v>140</v>
      </c>
      <c r="B142" s="34" t="s">
        <v>18023</v>
      </c>
      <c r="C142" s="35"/>
      <c r="D142" s="34" t="s">
        <v>18024</v>
      </c>
      <c r="E142" s="34" t="s">
        <v>18025</v>
      </c>
      <c r="F142" s="34" t="s">
        <v>18026</v>
      </c>
      <c r="G142" s="34" t="s">
        <v>18027</v>
      </c>
      <c r="H142" s="34" t="s">
        <v>18028</v>
      </c>
      <c r="I142" s="35">
        <v>3</v>
      </c>
      <c r="J142" s="34" t="s">
        <v>18029</v>
      </c>
      <c r="K142" s="35"/>
      <c r="L142" s="34" t="s">
        <v>16098</v>
      </c>
      <c r="M142" s="35" t="s">
        <v>9</v>
      </c>
      <c r="N142" s="34" t="s">
        <v>18030</v>
      </c>
      <c r="O142" s="35" t="s">
        <v>816</v>
      </c>
      <c r="P142" s="35" t="s">
        <v>669</v>
      </c>
    </row>
    <row r="143" spans="1:16" ht="409.6" x14ac:dyDescent="0.25">
      <c r="A143" s="35">
        <v>141</v>
      </c>
      <c r="B143" s="34" t="s">
        <v>18031</v>
      </c>
      <c r="C143" s="35"/>
      <c r="D143" s="34" t="s">
        <v>18032</v>
      </c>
      <c r="E143" s="34" t="s">
        <v>15316</v>
      </c>
      <c r="F143" s="34" t="s">
        <v>18033</v>
      </c>
      <c r="G143" s="34" t="s">
        <v>15368</v>
      </c>
      <c r="H143" s="34" t="s">
        <v>9148</v>
      </c>
      <c r="I143" s="35">
        <v>2</v>
      </c>
      <c r="J143" s="34" t="s">
        <v>18034</v>
      </c>
      <c r="K143" s="35"/>
      <c r="L143" s="34" t="s">
        <v>16098</v>
      </c>
      <c r="M143" s="35" t="s">
        <v>9</v>
      </c>
      <c r="N143" s="34" t="s">
        <v>18035</v>
      </c>
      <c r="O143" s="35" t="s">
        <v>816</v>
      </c>
      <c r="P143" s="35" t="s">
        <v>669</v>
      </c>
    </row>
    <row r="144" spans="1:16" ht="409.6" x14ac:dyDescent="0.25">
      <c r="A144" s="35">
        <v>142</v>
      </c>
      <c r="B144" s="34" t="s">
        <v>18036</v>
      </c>
      <c r="C144" s="35"/>
      <c r="D144" s="34" t="s">
        <v>18037</v>
      </c>
      <c r="E144" s="34" t="s">
        <v>18038</v>
      </c>
      <c r="F144" s="34" t="s">
        <v>18039</v>
      </c>
      <c r="G144" s="34" t="s">
        <v>18040</v>
      </c>
      <c r="H144" s="34" t="s">
        <v>18041</v>
      </c>
      <c r="I144" s="35">
        <v>2</v>
      </c>
      <c r="J144" s="34" t="s">
        <v>18042</v>
      </c>
      <c r="K144" s="35"/>
      <c r="L144" s="34" t="s">
        <v>16098</v>
      </c>
      <c r="M144" s="35" t="s">
        <v>9</v>
      </c>
      <c r="N144" s="34" t="s">
        <v>18043</v>
      </c>
      <c r="O144" s="35" t="s">
        <v>816</v>
      </c>
      <c r="P144" s="35" t="s">
        <v>669</v>
      </c>
    </row>
    <row r="145" spans="1:16" ht="409.6" x14ac:dyDescent="0.25">
      <c r="A145" s="35">
        <v>143</v>
      </c>
      <c r="B145" s="34" t="s">
        <v>18044</v>
      </c>
      <c r="C145" s="35"/>
      <c r="D145" s="34" t="s">
        <v>18045</v>
      </c>
      <c r="E145" s="34" t="s">
        <v>18046</v>
      </c>
      <c r="F145" s="34" t="s">
        <v>18047</v>
      </c>
      <c r="G145" s="34" t="s">
        <v>18048</v>
      </c>
      <c r="H145" s="34" t="s">
        <v>799</v>
      </c>
      <c r="I145" s="35">
        <v>5</v>
      </c>
      <c r="J145" s="34" t="s">
        <v>18049</v>
      </c>
      <c r="K145" s="35"/>
      <c r="L145" s="34" t="s">
        <v>16098</v>
      </c>
      <c r="M145" s="35" t="s">
        <v>9</v>
      </c>
      <c r="N145" s="34" t="s">
        <v>18050</v>
      </c>
      <c r="O145" s="35" t="s">
        <v>816</v>
      </c>
      <c r="P145" s="35" t="s">
        <v>669</v>
      </c>
    </row>
    <row r="146" spans="1:16" ht="409.6" x14ac:dyDescent="0.25">
      <c r="A146" s="35">
        <v>144</v>
      </c>
      <c r="B146" s="34" t="s">
        <v>18051</v>
      </c>
      <c r="C146" s="35"/>
      <c r="D146" s="34" t="s">
        <v>3301</v>
      </c>
      <c r="E146" s="34" t="s">
        <v>16314</v>
      </c>
      <c r="F146" s="34" t="s">
        <v>18052</v>
      </c>
      <c r="G146" s="34" t="s">
        <v>17287</v>
      </c>
      <c r="H146" s="34" t="s">
        <v>10288</v>
      </c>
      <c r="I146" s="35">
        <v>3</v>
      </c>
      <c r="J146" s="34" t="s">
        <v>18053</v>
      </c>
      <c r="K146" s="35"/>
      <c r="L146" s="34" t="s">
        <v>16098</v>
      </c>
      <c r="M146" s="35" t="s">
        <v>9</v>
      </c>
      <c r="N146" s="34" t="s">
        <v>18054</v>
      </c>
      <c r="O146" s="35" t="s">
        <v>816</v>
      </c>
      <c r="P146" s="35" t="s">
        <v>669</v>
      </c>
    </row>
    <row r="147" spans="1:16" ht="409.6" x14ac:dyDescent="0.25">
      <c r="A147" s="35">
        <v>145</v>
      </c>
      <c r="B147" s="34" t="s">
        <v>18055</v>
      </c>
      <c r="C147" s="35"/>
      <c r="D147" s="34" t="s">
        <v>17999</v>
      </c>
      <c r="E147" s="34" t="s">
        <v>18000</v>
      </c>
      <c r="F147" s="34" t="s">
        <v>16391</v>
      </c>
      <c r="G147" s="34" t="s">
        <v>18001</v>
      </c>
      <c r="H147" s="34" t="s">
        <v>16390</v>
      </c>
      <c r="I147" s="35">
        <v>5</v>
      </c>
      <c r="J147" s="34" t="s">
        <v>18056</v>
      </c>
      <c r="K147" s="35"/>
      <c r="L147" s="34" t="s">
        <v>16098</v>
      </c>
      <c r="M147" s="35" t="s">
        <v>9</v>
      </c>
      <c r="N147" s="34" t="s">
        <v>18057</v>
      </c>
      <c r="O147" s="35" t="s">
        <v>816</v>
      </c>
      <c r="P147" s="35" t="s">
        <v>669</v>
      </c>
    </row>
    <row r="148" spans="1:16" ht="409.6" x14ac:dyDescent="0.25">
      <c r="A148" s="35">
        <v>146</v>
      </c>
      <c r="B148" s="34" t="s">
        <v>18058</v>
      </c>
      <c r="C148" s="35"/>
      <c r="D148" s="34" t="s">
        <v>16550</v>
      </c>
      <c r="E148" s="34" t="s">
        <v>16551</v>
      </c>
      <c r="F148" s="34" t="s">
        <v>16197</v>
      </c>
      <c r="G148" s="34" t="s">
        <v>16198</v>
      </c>
      <c r="H148" s="34" t="s">
        <v>9825</v>
      </c>
      <c r="I148" s="35">
        <v>1</v>
      </c>
      <c r="J148" s="34" t="s">
        <v>18059</v>
      </c>
      <c r="K148" s="35"/>
      <c r="L148" s="34" t="s">
        <v>16098</v>
      </c>
      <c r="M148" s="35" t="s">
        <v>9</v>
      </c>
      <c r="N148" s="34" t="s">
        <v>18060</v>
      </c>
      <c r="O148" s="35" t="s">
        <v>164</v>
      </c>
      <c r="P148" s="35" t="s">
        <v>2271</v>
      </c>
    </row>
    <row r="149" spans="1:16" ht="409.6" x14ac:dyDescent="0.25">
      <c r="A149" s="35">
        <v>147</v>
      </c>
      <c r="B149" s="34" t="s">
        <v>18061</v>
      </c>
      <c r="C149" s="35"/>
      <c r="D149" s="34" t="s">
        <v>16653</v>
      </c>
      <c r="E149" s="34" t="s">
        <v>16657</v>
      </c>
      <c r="F149" s="34" t="s">
        <v>16641</v>
      </c>
      <c r="G149" s="34" t="s">
        <v>16642</v>
      </c>
      <c r="H149" s="34" t="s">
        <v>16550</v>
      </c>
      <c r="I149" s="35">
        <v>2</v>
      </c>
      <c r="J149" s="34" t="s">
        <v>18062</v>
      </c>
      <c r="K149" s="35"/>
      <c r="L149" s="34" t="s">
        <v>16098</v>
      </c>
      <c r="M149" s="35" t="s">
        <v>9</v>
      </c>
      <c r="N149" s="34" t="s">
        <v>1669</v>
      </c>
      <c r="O149" s="35" t="s">
        <v>816</v>
      </c>
      <c r="P149" s="35" t="s">
        <v>2711</v>
      </c>
    </row>
    <row r="150" spans="1:16" ht="409.6" x14ac:dyDescent="0.25">
      <c r="A150" s="35">
        <v>148</v>
      </c>
      <c r="B150" s="34" t="s">
        <v>18063</v>
      </c>
      <c r="C150" s="35"/>
      <c r="D150" s="34" t="s">
        <v>16629</v>
      </c>
      <c r="E150" s="34" t="s">
        <v>16630</v>
      </c>
      <c r="F150" s="34" t="s">
        <v>16653</v>
      </c>
      <c r="G150" s="34" t="s">
        <v>16657</v>
      </c>
      <c r="H150" s="34" t="s">
        <v>16641</v>
      </c>
      <c r="I150" s="35">
        <v>1</v>
      </c>
      <c r="J150" s="34" t="s">
        <v>18064</v>
      </c>
      <c r="K150" s="35"/>
      <c r="L150" s="34" t="s">
        <v>16209</v>
      </c>
      <c r="M150" s="35" t="s">
        <v>9</v>
      </c>
      <c r="N150" s="34" t="s">
        <v>3936</v>
      </c>
      <c r="O150" s="35" t="s">
        <v>816</v>
      </c>
      <c r="P150" s="35" t="s">
        <v>2711</v>
      </c>
    </row>
    <row r="151" spans="1:16" ht="409.6" x14ac:dyDescent="0.25">
      <c r="A151" s="35">
        <v>149</v>
      </c>
      <c r="B151" s="34" t="s">
        <v>18065</v>
      </c>
      <c r="C151" s="35"/>
      <c r="D151" s="34" t="s">
        <v>17580</v>
      </c>
      <c r="E151" s="34" t="s">
        <v>17581</v>
      </c>
      <c r="F151" s="34" t="s">
        <v>17582</v>
      </c>
      <c r="G151" s="34" t="s">
        <v>17583</v>
      </c>
      <c r="H151" s="34" t="s">
        <v>18066</v>
      </c>
      <c r="I151" s="35">
        <v>1</v>
      </c>
      <c r="J151" s="34" t="s">
        <v>18067</v>
      </c>
      <c r="K151" s="35"/>
      <c r="L151" s="34" t="s">
        <v>18068</v>
      </c>
      <c r="M151" s="35" t="s">
        <v>9</v>
      </c>
      <c r="N151" s="34" t="s">
        <v>18069</v>
      </c>
      <c r="O151" s="35" t="s">
        <v>164</v>
      </c>
      <c r="P151" s="35" t="s">
        <v>1865</v>
      </c>
    </row>
    <row r="152" spans="1:16" ht="409.6" x14ac:dyDescent="0.25">
      <c r="A152" s="35">
        <v>150</v>
      </c>
      <c r="B152" s="34" t="s">
        <v>18070</v>
      </c>
      <c r="C152" s="35"/>
      <c r="D152" s="34" t="s">
        <v>18071</v>
      </c>
      <c r="E152" s="34" t="s">
        <v>18072</v>
      </c>
      <c r="F152" s="34"/>
      <c r="G152" s="34"/>
      <c r="H152" s="34"/>
      <c r="I152" s="35">
        <v>1</v>
      </c>
      <c r="J152" s="34" t="s">
        <v>18073</v>
      </c>
      <c r="K152" s="35"/>
      <c r="L152" s="34" t="s">
        <v>18068</v>
      </c>
      <c r="M152" s="35" t="s">
        <v>9</v>
      </c>
      <c r="N152" s="34" t="s">
        <v>18074</v>
      </c>
      <c r="O152" s="35" t="s">
        <v>164</v>
      </c>
      <c r="P152" s="35" t="s">
        <v>1865</v>
      </c>
    </row>
    <row r="153" spans="1:16" ht="409.6" x14ac:dyDescent="0.25">
      <c r="A153" s="35">
        <v>151</v>
      </c>
      <c r="B153" s="34" t="s">
        <v>18075</v>
      </c>
      <c r="C153" s="35"/>
      <c r="D153" s="34" t="s">
        <v>18076</v>
      </c>
      <c r="E153" s="34"/>
      <c r="F153" s="34" t="s">
        <v>18077</v>
      </c>
      <c r="G153" s="34"/>
      <c r="H153" s="34"/>
      <c r="I153" s="35">
        <v>1</v>
      </c>
      <c r="J153" s="34" t="s">
        <v>18078</v>
      </c>
      <c r="K153" s="35"/>
      <c r="L153" s="34" t="s">
        <v>18068</v>
      </c>
      <c r="M153" s="35" t="s">
        <v>9</v>
      </c>
      <c r="N153" s="34" t="s">
        <v>18079</v>
      </c>
      <c r="O153" s="35" t="s">
        <v>164</v>
      </c>
      <c r="P153" s="35" t="s">
        <v>2017</v>
      </c>
    </row>
    <row r="154" spans="1:16" ht="409.6" x14ac:dyDescent="0.25">
      <c r="A154" s="35">
        <v>152</v>
      </c>
      <c r="B154" s="34" t="s">
        <v>18080</v>
      </c>
      <c r="C154" s="35"/>
      <c r="D154" s="34" t="s">
        <v>3298</v>
      </c>
      <c r="E154" s="34" t="s">
        <v>2230</v>
      </c>
      <c r="F154" s="34" t="s">
        <v>18081</v>
      </c>
      <c r="G154" s="34" t="s">
        <v>18082</v>
      </c>
      <c r="H154" s="34"/>
      <c r="I154" s="35">
        <v>1</v>
      </c>
      <c r="J154" s="34" t="s">
        <v>18083</v>
      </c>
      <c r="K154" s="35"/>
      <c r="L154" s="34" t="s">
        <v>18068</v>
      </c>
      <c r="M154" s="35" t="s">
        <v>9</v>
      </c>
      <c r="N154" s="34" t="s">
        <v>18084</v>
      </c>
      <c r="O154" s="35" t="s">
        <v>164</v>
      </c>
      <c r="P154" s="35" t="s">
        <v>2017</v>
      </c>
    </row>
    <row r="155" spans="1:16" ht="409.6" x14ac:dyDescent="0.25">
      <c r="A155" s="35">
        <v>153</v>
      </c>
      <c r="B155" s="34" t="s">
        <v>18085</v>
      </c>
      <c r="C155" s="35"/>
      <c r="D155" s="34" t="s">
        <v>18086</v>
      </c>
      <c r="E155" s="34" t="s">
        <v>18087</v>
      </c>
      <c r="F155" s="34" t="s">
        <v>18088</v>
      </c>
      <c r="G155" s="34" t="s">
        <v>18089</v>
      </c>
      <c r="H155" s="34"/>
      <c r="I155" s="35">
        <v>1</v>
      </c>
      <c r="J155" s="34" t="s">
        <v>18090</v>
      </c>
      <c r="K155" s="35"/>
      <c r="L155" s="34" t="s">
        <v>18068</v>
      </c>
      <c r="M155" s="35" t="s">
        <v>9</v>
      </c>
      <c r="N155" s="34" t="s">
        <v>18091</v>
      </c>
      <c r="O155" s="35" t="s">
        <v>164</v>
      </c>
      <c r="P155" s="35" t="s">
        <v>2017</v>
      </c>
    </row>
    <row r="156" spans="1:16" ht="409.6" x14ac:dyDescent="0.25">
      <c r="A156" s="35">
        <v>154</v>
      </c>
      <c r="B156" s="34" t="s">
        <v>18092</v>
      </c>
      <c r="C156" s="35"/>
      <c r="D156" s="34" t="s">
        <v>18093</v>
      </c>
      <c r="E156" s="34" t="s">
        <v>13049</v>
      </c>
      <c r="F156" s="34" t="s">
        <v>16212</v>
      </c>
      <c r="G156" s="34" t="s">
        <v>18094</v>
      </c>
      <c r="H156" s="34"/>
      <c r="I156" s="35">
        <v>2</v>
      </c>
      <c r="J156" s="34" t="s">
        <v>18095</v>
      </c>
      <c r="K156" s="35"/>
      <c r="L156" s="34" t="s">
        <v>18068</v>
      </c>
      <c r="M156" s="35" t="s">
        <v>9</v>
      </c>
      <c r="N156" s="34" t="s">
        <v>18096</v>
      </c>
      <c r="O156" s="35" t="s">
        <v>164</v>
      </c>
      <c r="P156" s="35" t="s">
        <v>2017</v>
      </c>
    </row>
    <row r="157" spans="1:16" ht="409.6" x14ac:dyDescent="0.25">
      <c r="A157" s="35">
        <v>155</v>
      </c>
      <c r="B157" s="34" t="s">
        <v>18097</v>
      </c>
      <c r="C157" s="35"/>
      <c r="D157" s="34" t="s">
        <v>17593</v>
      </c>
      <c r="E157" s="34" t="s">
        <v>18098</v>
      </c>
      <c r="F157" s="34" t="s">
        <v>18099</v>
      </c>
      <c r="G157" s="34" t="s">
        <v>18100</v>
      </c>
      <c r="H157" s="34" t="s">
        <v>18101</v>
      </c>
      <c r="I157" s="35">
        <v>1</v>
      </c>
      <c r="J157" s="34" t="s">
        <v>18102</v>
      </c>
      <c r="K157" s="35"/>
      <c r="L157" s="34" t="s">
        <v>18068</v>
      </c>
      <c r="M157" s="35" t="s">
        <v>9</v>
      </c>
      <c r="N157" s="34" t="s">
        <v>18103</v>
      </c>
      <c r="O157" s="35" t="s">
        <v>164</v>
      </c>
      <c r="P157" s="35" t="s">
        <v>2017</v>
      </c>
    </row>
    <row r="158" spans="1:16" ht="409.6" x14ac:dyDescent="0.25">
      <c r="A158" s="35">
        <v>156</v>
      </c>
      <c r="B158" s="34" t="s">
        <v>18104</v>
      </c>
      <c r="C158" s="35"/>
      <c r="D158" s="34" t="s">
        <v>16255</v>
      </c>
      <c r="E158" s="34" t="s">
        <v>16192</v>
      </c>
      <c r="F158" s="34" t="s">
        <v>16193</v>
      </c>
      <c r="G158" s="34" t="s">
        <v>18105</v>
      </c>
      <c r="H158" s="34" t="s">
        <v>18106</v>
      </c>
      <c r="I158" s="35">
        <v>1</v>
      </c>
      <c r="J158" s="34" t="s">
        <v>18107</v>
      </c>
      <c r="K158" s="35"/>
      <c r="L158" s="34" t="s">
        <v>18068</v>
      </c>
      <c r="M158" s="35" t="s">
        <v>9</v>
      </c>
      <c r="N158" s="34" t="s">
        <v>18108</v>
      </c>
      <c r="O158" s="35" t="s">
        <v>164</v>
      </c>
      <c r="P158" s="35" t="s">
        <v>2109</v>
      </c>
    </row>
    <row r="159" spans="1:16" ht="409.6" x14ac:dyDescent="0.25">
      <c r="A159" s="35">
        <v>157</v>
      </c>
      <c r="B159" s="34" t="s">
        <v>18109</v>
      </c>
      <c r="C159" s="35"/>
      <c r="D159" s="34" t="s">
        <v>18110</v>
      </c>
      <c r="E159" s="34" t="s">
        <v>18111</v>
      </c>
      <c r="F159" s="34" t="s">
        <v>18112</v>
      </c>
      <c r="G159" s="34" t="s">
        <v>18106</v>
      </c>
      <c r="H159" s="34" t="s">
        <v>18113</v>
      </c>
      <c r="I159" s="35">
        <v>1</v>
      </c>
      <c r="J159" s="34" t="s">
        <v>18114</v>
      </c>
      <c r="K159" s="35"/>
      <c r="L159" s="34" t="s">
        <v>18068</v>
      </c>
      <c r="M159" s="35" t="s">
        <v>9</v>
      </c>
      <c r="N159" s="34" t="s">
        <v>18115</v>
      </c>
      <c r="O159" s="35" t="s">
        <v>164</v>
      </c>
      <c r="P159" s="35" t="s">
        <v>2109</v>
      </c>
    </row>
    <row r="160" spans="1:16" ht="409.6" x14ac:dyDescent="0.25">
      <c r="A160" s="35">
        <v>158</v>
      </c>
      <c r="B160" s="34" t="s">
        <v>18116</v>
      </c>
      <c r="C160" s="35"/>
      <c r="D160" s="34" t="s">
        <v>1906</v>
      </c>
      <c r="E160" s="34" t="s">
        <v>18117</v>
      </c>
      <c r="F160" s="34" t="s">
        <v>18118</v>
      </c>
      <c r="G160" s="34" t="s">
        <v>16506</v>
      </c>
      <c r="H160" s="34" t="s">
        <v>18119</v>
      </c>
      <c r="I160" s="35">
        <v>1</v>
      </c>
      <c r="J160" s="34" t="s">
        <v>18120</v>
      </c>
      <c r="K160" s="35"/>
      <c r="L160" s="34" t="s">
        <v>18068</v>
      </c>
      <c r="M160" s="35" t="s">
        <v>9</v>
      </c>
      <c r="N160" s="34" t="s">
        <v>18121</v>
      </c>
      <c r="O160" s="35" t="s">
        <v>164</v>
      </c>
      <c r="P160" s="35" t="s">
        <v>2109</v>
      </c>
    </row>
    <row r="161" spans="1:16" ht="409.6" x14ac:dyDescent="0.25">
      <c r="A161" s="35">
        <v>159</v>
      </c>
      <c r="B161" s="34" t="s">
        <v>18122</v>
      </c>
      <c r="C161" s="35"/>
      <c r="D161" s="34" t="s">
        <v>18123</v>
      </c>
      <c r="E161" s="34" t="s">
        <v>18124</v>
      </c>
      <c r="F161" s="34" t="s">
        <v>18125</v>
      </c>
      <c r="G161" s="34" t="s">
        <v>18126</v>
      </c>
      <c r="H161" s="34" t="s">
        <v>18127</v>
      </c>
      <c r="I161" s="35">
        <v>1</v>
      </c>
      <c r="J161" s="34" t="s">
        <v>18128</v>
      </c>
      <c r="K161" s="35"/>
      <c r="L161" s="34" t="s">
        <v>18068</v>
      </c>
      <c r="M161" s="35" t="s">
        <v>9</v>
      </c>
      <c r="N161" s="34" t="s">
        <v>18129</v>
      </c>
      <c r="O161" s="35" t="s">
        <v>164</v>
      </c>
      <c r="P161" s="35" t="s">
        <v>2109</v>
      </c>
    </row>
    <row r="162" spans="1:16" ht="409.6" x14ac:dyDescent="0.25">
      <c r="A162" s="35">
        <v>160</v>
      </c>
      <c r="B162" s="34" t="s">
        <v>18130</v>
      </c>
      <c r="C162" s="35"/>
      <c r="D162" s="34" t="s">
        <v>14895</v>
      </c>
      <c r="E162" s="34" t="s">
        <v>18131</v>
      </c>
      <c r="F162" s="34" t="s">
        <v>17304</v>
      </c>
      <c r="G162" s="34" t="s">
        <v>18132</v>
      </c>
      <c r="H162" s="34" t="s">
        <v>6730</v>
      </c>
      <c r="I162" s="35">
        <v>1</v>
      </c>
      <c r="J162" s="34" t="s">
        <v>18133</v>
      </c>
      <c r="K162" s="35"/>
      <c r="L162" s="34" t="s">
        <v>18068</v>
      </c>
      <c r="M162" s="35" t="s">
        <v>9</v>
      </c>
      <c r="N162" s="34" t="s">
        <v>18134</v>
      </c>
      <c r="O162" s="35" t="s">
        <v>164</v>
      </c>
      <c r="P162" s="35" t="s">
        <v>2109</v>
      </c>
    </row>
    <row r="163" spans="1:16" ht="409.6" x14ac:dyDescent="0.25">
      <c r="A163" s="35">
        <v>161</v>
      </c>
      <c r="B163" s="34" t="s">
        <v>18135</v>
      </c>
      <c r="C163" s="35"/>
      <c r="D163" s="34" t="s">
        <v>18136</v>
      </c>
      <c r="E163" s="34" t="s">
        <v>2208</v>
      </c>
      <c r="F163" s="34" t="s">
        <v>18137</v>
      </c>
      <c r="G163" s="34" t="s">
        <v>18138</v>
      </c>
      <c r="H163" s="34" t="s">
        <v>18139</v>
      </c>
      <c r="I163" s="35">
        <v>1</v>
      </c>
      <c r="J163" s="34" t="s">
        <v>18140</v>
      </c>
      <c r="K163" s="35"/>
      <c r="L163" s="34" t="s">
        <v>18068</v>
      </c>
      <c r="M163" s="35" t="s">
        <v>9</v>
      </c>
      <c r="N163" s="34" t="s">
        <v>18121</v>
      </c>
      <c r="O163" s="35" t="s">
        <v>164</v>
      </c>
      <c r="P163" s="35" t="s">
        <v>2109</v>
      </c>
    </row>
    <row r="164" spans="1:16" ht="409.6" x14ac:dyDescent="0.25">
      <c r="A164" s="35">
        <v>162</v>
      </c>
      <c r="B164" s="34" t="s">
        <v>18141</v>
      </c>
      <c r="C164" s="35"/>
      <c r="D164" s="34" t="s">
        <v>1902</v>
      </c>
      <c r="E164" s="34" t="s">
        <v>18142</v>
      </c>
      <c r="F164" s="34" t="s">
        <v>18143</v>
      </c>
      <c r="G164" s="34" t="s">
        <v>18144</v>
      </c>
      <c r="H164" s="34" t="s">
        <v>18145</v>
      </c>
      <c r="I164" s="35">
        <v>1</v>
      </c>
      <c r="J164" s="34" t="s">
        <v>18146</v>
      </c>
      <c r="K164" s="35"/>
      <c r="L164" s="34" t="s">
        <v>18068</v>
      </c>
      <c r="M164" s="35" t="s">
        <v>9</v>
      </c>
      <c r="N164" s="34" t="s">
        <v>18147</v>
      </c>
      <c r="O164" s="35" t="s">
        <v>164</v>
      </c>
      <c r="P164" s="35" t="s">
        <v>2109</v>
      </c>
    </row>
    <row r="165" spans="1:16" ht="409.6" x14ac:dyDescent="0.25">
      <c r="A165" s="35">
        <v>163</v>
      </c>
      <c r="B165" s="34" t="s">
        <v>18148</v>
      </c>
      <c r="C165" s="35"/>
      <c r="D165" s="34" t="s">
        <v>18149</v>
      </c>
      <c r="E165" s="34" t="s">
        <v>9052</v>
      </c>
      <c r="F165" s="34" t="s">
        <v>18150</v>
      </c>
      <c r="G165" s="34" t="s">
        <v>18151</v>
      </c>
      <c r="H165" s="34" t="s">
        <v>18152</v>
      </c>
      <c r="I165" s="35">
        <v>1</v>
      </c>
      <c r="J165" s="34" t="s">
        <v>18153</v>
      </c>
      <c r="K165" s="35"/>
      <c r="L165" s="34" t="s">
        <v>18068</v>
      </c>
      <c r="M165" s="35" t="s">
        <v>9</v>
      </c>
      <c r="N165" s="34" t="s">
        <v>18154</v>
      </c>
      <c r="O165" s="35" t="s">
        <v>164</v>
      </c>
      <c r="P165" s="35" t="s">
        <v>2109</v>
      </c>
    </row>
    <row r="166" spans="1:16" ht="409.6" x14ac:dyDescent="0.25">
      <c r="A166" s="35">
        <v>164</v>
      </c>
      <c r="B166" s="34" t="s">
        <v>18155</v>
      </c>
      <c r="C166" s="35"/>
      <c r="D166" s="34" t="s">
        <v>16390</v>
      </c>
      <c r="E166" s="34" t="s">
        <v>15696</v>
      </c>
      <c r="F166" s="34" t="s">
        <v>18156</v>
      </c>
      <c r="G166" s="34" t="s">
        <v>18157</v>
      </c>
      <c r="H166" s="34" t="s">
        <v>18158</v>
      </c>
      <c r="I166" s="35">
        <v>1</v>
      </c>
      <c r="J166" s="34" t="s">
        <v>18159</v>
      </c>
      <c r="K166" s="35"/>
      <c r="L166" s="34" t="s">
        <v>18068</v>
      </c>
      <c r="M166" s="35" t="s">
        <v>9</v>
      </c>
      <c r="N166" s="34" t="s">
        <v>18160</v>
      </c>
      <c r="O166" s="35" t="s">
        <v>164</v>
      </c>
      <c r="P166" s="35" t="s">
        <v>2109</v>
      </c>
    </row>
    <row r="167" spans="1:16" ht="409.6" x14ac:dyDescent="0.25">
      <c r="A167" s="35">
        <v>165</v>
      </c>
      <c r="B167" s="34" t="s">
        <v>18161</v>
      </c>
      <c r="C167" s="35"/>
      <c r="D167" s="34" t="s">
        <v>18162</v>
      </c>
      <c r="E167" s="34"/>
      <c r="F167" s="34" t="s">
        <v>18163</v>
      </c>
      <c r="G167" s="34" t="s">
        <v>18164</v>
      </c>
      <c r="H167" s="34" t="s">
        <v>18165</v>
      </c>
      <c r="I167" s="35">
        <v>2</v>
      </c>
      <c r="J167" s="34" t="s">
        <v>18166</v>
      </c>
      <c r="K167" s="35"/>
      <c r="L167" s="34" t="s">
        <v>18068</v>
      </c>
      <c r="M167" s="35" t="s">
        <v>9</v>
      </c>
      <c r="N167" s="34" t="s">
        <v>15211</v>
      </c>
      <c r="O167" s="35" t="s">
        <v>164</v>
      </c>
      <c r="P167" s="35" t="s">
        <v>2109</v>
      </c>
    </row>
    <row r="168" spans="1:16" ht="409.6" x14ac:dyDescent="0.25">
      <c r="A168" s="35">
        <v>166</v>
      </c>
      <c r="B168" s="34" t="s">
        <v>18167</v>
      </c>
      <c r="C168" s="35" t="s">
        <v>18168</v>
      </c>
      <c r="D168" s="34" t="s">
        <v>18169</v>
      </c>
      <c r="E168" s="34" t="s">
        <v>18170</v>
      </c>
      <c r="F168" s="34" t="s">
        <v>18171</v>
      </c>
      <c r="G168" s="34" t="s">
        <v>18172</v>
      </c>
      <c r="H168" s="34" t="s">
        <v>18173</v>
      </c>
      <c r="I168" s="35">
        <v>2</v>
      </c>
      <c r="J168" s="34" t="s">
        <v>18174</v>
      </c>
      <c r="K168" s="35"/>
      <c r="L168" s="34" t="s">
        <v>18068</v>
      </c>
      <c r="M168" s="35" t="s">
        <v>9</v>
      </c>
      <c r="N168" s="34" t="s">
        <v>18121</v>
      </c>
      <c r="O168" s="35" t="s">
        <v>164</v>
      </c>
      <c r="P168" s="35" t="s">
        <v>2109</v>
      </c>
    </row>
    <row r="169" spans="1:16" ht="409.6" x14ac:dyDescent="0.25">
      <c r="A169" s="35">
        <v>167</v>
      </c>
      <c r="B169" s="34" t="s">
        <v>18175</v>
      </c>
      <c r="C169" s="35" t="s">
        <v>18176</v>
      </c>
      <c r="D169" s="34" t="s">
        <v>18177</v>
      </c>
      <c r="E169" s="34"/>
      <c r="F169" s="34" t="s">
        <v>18178</v>
      </c>
      <c r="G169" s="34" t="s">
        <v>18179</v>
      </c>
      <c r="H169" s="34" t="s">
        <v>18180</v>
      </c>
      <c r="I169" s="35">
        <v>2</v>
      </c>
      <c r="J169" s="34" t="s">
        <v>18181</v>
      </c>
      <c r="K169" s="35"/>
      <c r="L169" s="34" t="s">
        <v>18068</v>
      </c>
      <c r="M169" s="35" t="s">
        <v>9</v>
      </c>
      <c r="N169" s="34" t="s">
        <v>18154</v>
      </c>
      <c r="O169" s="35" t="s">
        <v>164</v>
      </c>
      <c r="P169" s="35" t="s">
        <v>2109</v>
      </c>
    </row>
    <row r="170" spans="1:16" ht="409.6" x14ac:dyDescent="0.25">
      <c r="A170" s="35">
        <v>168</v>
      </c>
      <c r="B170" s="34" t="s">
        <v>18182</v>
      </c>
      <c r="C170" s="35" t="s">
        <v>18183</v>
      </c>
      <c r="D170" s="34" t="s">
        <v>18184</v>
      </c>
      <c r="E170" s="34" t="s">
        <v>18185</v>
      </c>
      <c r="F170" s="34" t="s">
        <v>18186</v>
      </c>
      <c r="G170" s="34" t="s">
        <v>18187</v>
      </c>
      <c r="H170" s="34" t="s">
        <v>18188</v>
      </c>
      <c r="I170" s="35">
        <v>1</v>
      </c>
      <c r="J170" s="34" t="s">
        <v>18189</v>
      </c>
      <c r="K170" s="35"/>
      <c r="L170" s="34" t="s">
        <v>18068</v>
      </c>
      <c r="M170" s="35" t="s">
        <v>9</v>
      </c>
      <c r="N170" s="34" t="s">
        <v>18190</v>
      </c>
      <c r="O170" s="35" t="s">
        <v>164</v>
      </c>
      <c r="P170" s="35" t="s">
        <v>2155</v>
      </c>
    </row>
    <row r="171" spans="1:16" ht="409.6" x14ac:dyDescent="0.25">
      <c r="A171" s="35">
        <v>169</v>
      </c>
      <c r="B171" s="34" t="s">
        <v>18191</v>
      </c>
      <c r="C171" s="35"/>
      <c r="D171" s="34" t="s">
        <v>18192</v>
      </c>
      <c r="E171" s="34" t="s">
        <v>18193</v>
      </c>
      <c r="F171" s="34" t="s">
        <v>18194</v>
      </c>
      <c r="G171" s="34" t="s">
        <v>18195</v>
      </c>
      <c r="H171" s="34" t="s">
        <v>18196</v>
      </c>
      <c r="I171" s="35">
        <v>1</v>
      </c>
      <c r="J171" s="34" t="s">
        <v>18197</v>
      </c>
      <c r="K171" s="35"/>
      <c r="L171" s="34" t="s">
        <v>18068</v>
      </c>
      <c r="M171" s="35" t="s">
        <v>9</v>
      </c>
      <c r="N171" s="34" t="s">
        <v>18198</v>
      </c>
      <c r="O171" s="35" t="s">
        <v>164</v>
      </c>
      <c r="P171" s="35" t="s">
        <v>2155</v>
      </c>
    </row>
    <row r="172" spans="1:16" ht="409.6" x14ac:dyDescent="0.25">
      <c r="A172" s="35">
        <v>170</v>
      </c>
      <c r="B172" s="34" t="s">
        <v>18199</v>
      </c>
      <c r="C172" s="35"/>
      <c r="D172" s="34" t="s">
        <v>18200</v>
      </c>
      <c r="E172" s="34" t="s">
        <v>18201</v>
      </c>
      <c r="F172" s="34" t="s">
        <v>18202</v>
      </c>
      <c r="G172" s="34" t="s">
        <v>18203</v>
      </c>
      <c r="H172" s="34" t="s">
        <v>18204</v>
      </c>
      <c r="I172" s="35">
        <v>1</v>
      </c>
      <c r="J172" s="34" t="s">
        <v>18205</v>
      </c>
      <c r="K172" s="35"/>
      <c r="L172" s="34" t="s">
        <v>18068</v>
      </c>
      <c r="M172" s="35" t="s">
        <v>9</v>
      </c>
      <c r="N172" s="34" t="s">
        <v>18206</v>
      </c>
      <c r="O172" s="35" t="s">
        <v>164</v>
      </c>
      <c r="P172" s="35" t="s">
        <v>2155</v>
      </c>
    </row>
    <row r="173" spans="1:16" ht="409.6" x14ac:dyDescent="0.25">
      <c r="A173" s="35">
        <v>171</v>
      </c>
      <c r="B173" s="34" t="s">
        <v>18207</v>
      </c>
      <c r="C173" s="35"/>
      <c r="D173" s="34" t="s">
        <v>18208</v>
      </c>
      <c r="E173" s="34" t="s">
        <v>18209</v>
      </c>
      <c r="F173" s="34" t="s">
        <v>18210</v>
      </c>
      <c r="G173" s="34" t="s">
        <v>18196</v>
      </c>
      <c r="H173" s="34" t="s">
        <v>18193</v>
      </c>
      <c r="I173" s="35">
        <v>1</v>
      </c>
      <c r="J173" s="34" t="s">
        <v>18211</v>
      </c>
      <c r="K173" s="35"/>
      <c r="L173" s="34" t="s">
        <v>18068</v>
      </c>
      <c r="M173" s="35" t="s">
        <v>9</v>
      </c>
      <c r="N173" s="34" t="s">
        <v>18212</v>
      </c>
      <c r="O173" s="35" t="s">
        <v>164</v>
      </c>
      <c r="P173" s="35" t="s">
        <v>2155</v>
      </c>
    </row>
    <row r="174" spans="1:16" ht="409.6" x14ac:dyDescent="0.25">
      <c r="A174" s="35">
        <v>172</v>
      </c>
      <c r="B174" s="34" t="s">
        <v>18213</v>
      </c>
      <c r="C174" s="35"/>
      <c r="D174" s="34" t="s">
        <v>18214</v>
      </c>
      <c r="E174" s="34" t="s">
        <v>18215</v>
      </c>
      <c r="F174" s="34" t="s">
        <v>18216</v>
      </c>
      <c r="G174" s="34" t="s">
        <v>18217</v>
      </c>
      <c r="H174" s="34" t="s">
        <v>18218</v>
      </c>
      <c r="I174" s="35">
        <v>1</v>
      </c>
      <c r="J174" s="34" t="s">
        <v>18219</v>
      </c>
      <c r="K174" s="35"/>
      <c r="L174" s="34" t="s">
        <v>18068</v>
      </c>
      <c r="M174" s="35" t="s">
        <v>9</v>
      </c>
      <c r="N174" s="34" t="s">
        <v>18220</v>
      </c>
      <c r="O174" s="35" t="s">
        <v>164</v>
      </c>
      <c r="P174" s="35" t="s">
        <v>2155</v>
      </c>
    </row>
    <row r="175" spans="1:16" ht="409.6" x14ac:dyDescent="0.25">
      <c r="A175" s="35">
        <v>173</v>
      </c>
      <c r="B175" s="34" t="s">
        <v>18221</v>
      </c>
      <c r="C175" s="35"/>
      <c r="D175" s="34" t="s">
        <v>18222</v>
      </c>
      <c r="E175" s="34" t="s">
        <v>18223</v>
      </c>
      <c r="F175" s="34" t="s">
        <v>18224</v>
      </c>
      <c r="G175" s="34" t="s">
        <v>18225</v>
      </c>
      <c r="H175" s="34" t="s">
        <v>18226</v>
      </c>
      <c r="I175" s="35">
        <v>1</v>
      </c>
      <c r="J175" s="34" t="s">
        <v>18227</v>
      </c>
      <c r="K175" s="35"/>
      <c r="L175" s="34" t="s">
        <v>18068</v>
      </c>
      <c r="M175" s="35" t="s">
        <v>9</v>
      </c>
      <c r="N175" s="34" t="s">
        <v>18228</v>
      </c>
      <c r="O175" s="35" t="s">
        <v>164</v>
      </c>
      <c r="P175" s="35" t="s">
        <v>2155</v>
      </c>
    </row>
    <row r="176" spans="1:16" ht="409.6" x14ac:dyDescent="0.25">
      <c r="A176" s="35">
        <v>174</v>
      </c>
      <c r="B176" s="34" t="s">
        <v>18229</v>
      </c>
      <c r="C176" s="35"/>
      <c r="D176" s="34" t="s">
        <v>18230</v>
      </c>
      <c r="E176" s="34" t="s">
        <v>18231</v>
      </c>
      <c r="F176" s="34" t="s">
        <v>18232</v>
      </c>
      <c r="G176" s="34" t="s">
        <v>18233</v>
      </c>
      <c r="H176" s="34" t="s">
        <v>18234</v>
      </c>
      <c r="I176" s="35">
        <v>1</v>
      </c>
      <c r="J176" s="34" t="s">
        <v>18235</v>
      </c>
      <c r="K176" s="35"/>
      <c r="L176" s="34" t="s">
        <v>18068</v>
      </c>
      <c r="M176" s="35" t="s">
        <v>9</v>
      </c>
      <c r="N176" s="34" t="s">
        <v>18236</v>
      </c>
      <c r="O176" s="35" t="s">
        <v>164</v>
      </c>
      <c r="P176" s="35" t="s">
        <v>2155</v>
      </c>
    </row>
    <row r="177" spans="1:16" ht="409.6" x14ac:dyDescent="0.25">
      <c r="A177" s="35">
        <v>175</v>
      </c>
      <c r="B177" s="34" t="s">
        <v>18237</v>
      </c>
      <c r="C177" s="35"/>
      <c r="D177" s="34" t="s">
        <v>18238</v>
      </c>
      <c r="E177" s="34" t="s">
        <v>18239</v>
      </c>
      <c r="F177" s="34" t="s">
        <v>18240</v>
      </c>
      <c r="G177" s="34" t="s">
        <v>18241</v>
      </c>
      <c r="H177" s="34" t="s">
        <v>18242</v>
      </c>
      <c r="I177" s="35">
        <v>1</v>
      </c>
      <c r="J177" s="34" t="s">
        <v>18243</v>
      </c>
      <c r="K177" s="35"/>
      <c r="L177" s="34" t="s">
        <v>18068</v>
      </c>
      <c r="M177" s="35" t="s">
        <v>9</v>
      </c>
      <c r="N177" s="34" t="s">
        <v>18244</v>
      </c>
      <c r="O177" s="35" t="s">
        <v>164</v>
      </c>
      <c r="P177" s="35" t="s">
        <v>2155</v>
      </c>
    </row>
    <row r="178" spans="1:16" ht="409.6" x14ac:dyDescent="0.25">
      <c r="A178" s="35">
        <v>176</v>
      </c>
      <c r="B178" s="34" t="s">
        <v>18245</v>
      </c>
      <c r="C178" s="35"/>
      <c r="D178" s="34" t="s">
        <v>18246</v>
      </c>
      <c r="E178" s="34" t="s">
        <v>18247</v>
      </c>
      <c r="F178" s="34" t="s">
        <v>18248</v>
      </c>
      <c r="G178" s="34" t="s">
        <v>18249</v>
      </c>
      <c r="H178" s="34" t="s">
        <v>18250</v>
      </c>
      <c r="I178" s="35">
        <v>1</v>
      </c>
      <c r="J178" s="34" t="s">
        <v>18251</v>
      </c>
      <c r="K178" s="35"/>
      <c r="L178" s="34" t="s">
        <v>18068</v>
      </c>
      <c r="M178" s="35" t="s">
        <v>9</v>
      </c>
      <c r="N178" s="34" t="s">
        <v>18252</v>
      </c>
      <c r="O178" s="35" t="s">
        <v>164</v>
      </c>
      <c r="P178" s="35" t="s">
        <v>2155</v>
      </c>
    </row>
    <row r="179" spans="1:16" ht="409.6" x14ac:dyDescent="0.25">
      <c r="A179" s="35">
        <v>177</v>
      </c>
      <c r="B179" s="34" t="s">
        <v>18253</v>
      </c>
      <c r="C179" s="35"/>
      <c r="D179" s="34" t="s">
        <v>8262</v>
      </c>
      <c r="E179" s="34" t="s">
        <v>18254</v>
      </c>
      <c r="F179" s="34" t="s">
        <v>18255</v>
      </c>
      <c r="G179" s="34" t="s">
        <v>17639</v>
      </c>
      <c r="H179" s="34" t="s">
        <v>18256</v>
      </c>
      <c r="I179" s="35">
        <v>1</v>
      </c>
      <c r="J179" s="34" t="s">
        <v>18257</v>
      </c>
      <c r="K179" s="35"/>
      <c r="L179" s="34" t="s">
        <v>18068</v>
      </c>
      <c r="M179" s="35" t="s">
        <v>9</v>
      </c>
      <c r="N179" s="34" t="s">
        <v>18258</v>
      </c>
      <c r="O179" s="35" t="s">
        <v>164</v>
      </c>
      <c r="P179" s="35" t="s">
        <v>2155</v>
      </c>
    </row>
    <row r="180" spans="1:16" ht="409.6" x14ac:dyDescent="0.25">
      <c r="A180" s="35">
        <v>178</v>
      </c>
      <c r="B180" s="34" t="s">
        <v>18259</v>
      </c>
      <c r="C180" s="35"/>
      <c r="D180" s="34" t="s">
        <v>18260</v>
      </c>
      <c r="E180" s="34" t="s">
        <v>18261</v>
      </c>
      <c r="F180" s="34" t="s">
        <v>18262</v>
      </c>
      <c r="G180" s="34" t="s">
        <v>18263</v>
      </c>
      <c r="H180" s="34" t="s">
        <v>18264</v>
      </c>
      <c r="I180" s="35">
        <v>1</v>
      </c>
      <c r="J180" s="34" t="s">
        <v>18265</v>
      </c>
      <c r="K180" s="35"/>
      <c r="L180" s="34" t="s">
        <v>18068</v>
      </c>
      <c r="M180" s="35" t="s">
        <v>9</v>
      </c>
      <c r="N180" s="34" t="s">
        <v>18266</v>
      </c>
      <c r="O180" s="35" t="s">
        <v>164</v>
      </c>
      <c r="P180" s="35" t="s">
        <v>2155</v>
      </c>
    </row>
    <row r="181" spans="1:16" ht="409.6" x14ac:dyDescent="0.25">
      <c r="A181" s="35">
        <v>179</v>
      </c>
      <c r="B181" s="34" t="s">
        <v>18267</v>
      </c>
      <c r="C181" s="35"/>
      <c r="D181" s="34" t="s">
        <v>18268</v>
      </c>
      <c r="E181" s="34" t="s">
        <v>18269</v>
      </c>
      <c r="F181" s="34" t="s">
        <v>18270</v>
      </c>
      <c r="G181" s="34" t="s">
        <v>18271</v>
      </c>
      <c r="H181" s="34" t="s">
        <v>18272</v>
      </c>
      <c r="I181" s="35">
        <v>1</v>
      </c>
      <c r="J181" s="34" t="s">
        <v>18273</v>
      </c>
      <c r="K181" s="35"/>
      <c r="L181" s="34" t="s">
        <v>18068</v>
      </c>
      <c r="M181" s="35" t="s">
        <v>9</v>
      </c>
      <c r="N181" s="34" t="s">
        <v>18274</v>
      </c>
      <c r="O181" s="35" t="s">
        <v>164</v>
      </c>
      <c r="P181" s="35" t="s">
        <v>2155</v>
      </c>
    </row>
    <row r="182" spans="1:16" ht="409.6" x14ac:dyDescent="0.25">
      <c r="A182" s="35">
        <v>180</v>
      </c>
      <c r="B182" s="34" t="s">
        <v>18275</v>
      </c>
      <c r="C182" s="35"/>
      <c r="D182" s="34" t="s">
        <v>18276</v>
      </c>
      <c r="E182" s="34" t="s">
        <v>18277</v>
      </c>
      <c r="F182" s="34" t="s">
        <v>18278</v>
      </c>
      <c r="G182" s="34" t="s">
        <v>18279</v>
      </c>
      <c r="H182" s="34" t="s">
        <v>18280</v>
      </c>
      <c r="I182" s="35">
        <v>1</v>
      </c>
      <c r="J182" s="34" t="s">
        <v>18281</v>
      </c>
      <c r="K182" s="35"/>
      <c r="L182" s="34" t="s">
        <v>18068</v>
      </c>
      <c r="M182" s="35" t="s">
        <v>9</v>
      </c>
      <c r="N182" s="34" t="s">
        <v>18282</v>
      </c>
      <c r="O182" s="35" t="s">
        <v>164</v>
      </c>
      <c r="P182" s="35" t="s">
        <v>2155</v>
      </c>
    </row>
    <row r="183" spans="1:16" ht="409.6" x14ac:dyDescent="0.25">
      <c r="A183" s="35">
        <v>181</v>
      </c>
      <c r="B183" s="34" t="s">
        <v>18283</v>
      </c>
      <c r="C183" s="35"/>
      <c r="D183" s="34" t="s">
        <v>18284</v>
      </c>
      <c r="E183" s="34" t="s">
        <v>18285</v>
      </c>
      <c r="F183" s="34" t="s">
        <v>18286</v>
      </c>
      <c r="G183" s="34" t="s">
        <v>18287</v>
      </c>
      <c r="H183" s="34" t="s">
        <v>18288</v>
      </c>
      <c r="I183" s="35">
        <v>1</v>
      </c>
      <c r="J183" s="34" t="s">
        <v>18289</v>
      </c>
      <c r="K183" s="35"/>
      <c r="L183" s="34" t="s">
        <v>18068</v>
      </c>
      <c r="M183" s="35" t="s">
        <v>9</v>
      </c>
      <c r="N183" s="34" t="s">
        <v>18290</v>
      </c>
      <c r="O183" s="35" t="s">
        <v>164</v>
      </c>
      <c r="P183" s="35" t="s">
        <v>2155</v>
      </c>
    </row>
    <row r="184" spans="1:16" ht="409.6" x14ac:dyDescent="0.25">
      <c r="A184" s="35">
        <v>182</v>
      </c>
      <c r="B184" s="34" t="s">
        <v>18291</v>
      </c>
      <c r="C184" s="35"/>
      <c r="D184" s="34" t="s">
        <v>18292</v>
      </c>
      <c r="E184" s="34" t="s">
        <v>18293</v>
      </c>
      <c r="F184" s="34" t="s">
        <v>18294</v>
      </c>
      <c r="G184" s="34" t="s">
        <v>18295</v>
      </c>
      <c r="H184" s="34" t="s">
        <v>18296</v>
      </c>
      <c r="I184" s="35">
        <v>1</v>
      </c>
      <c r="J184" s="34" t="s">
        <v>18297</v>
      </c>
      <c r="K184" s="35"/>
      <c r="L184" s="34" t="s">
        <v>18068</v>
      </c>
      <c r="M184" s="35" t="s">
        <v>9</v>
      </c>
      <c r="N184" s="34" t="s">
        <v>18298</v>
      </c>
      <c r="O184" s="35" t="s">
        <v>164</v>
      </c>
      <c r="P184" s="35" t="s">
        <v>2155</v>
      </c>
    </row>
    <row r="185" spans="1:16" ht="409.6" x14ac:dyDescent="0.25">
      <c r="A185" s="35">
        <v>183</v>
      </c>
      <c r="B185" s="34" t="s">
        <v>18299</v>
      </c>
      <c r="C185" s="35"/>
      <c r="D185" s="34" t="s">
        <v>18300</v>
      </c>
      <c r="E185" s="34" t="s">
        <v>18301</v>
      </c>
      <c r="F185" s="34" t="s">
        <v>18302</v>
      </c>
      <c r="G185" s="34" t="s">
        <v>18303</v>
      </c>
      <c r="H185" s="34" t="s">
        <v>18304</v>
      </c>
      <c r="I185" s="35">
        <v>1</v>
      </c>
      <c r="J185" s="34" t="s">
        <v>18305</v>
      </c>
      <c r="K185" s="35"/>
      <c r="L185" s="34" t="s">
        <v>18068</v>
      </c>
      <c r="M185" s="35" t="s">
        <v>9</v>
      </c>
      <c r="N185" s="34" t="s">
        <v>18306</v>
      </c>
      <c r="O185" s="35" t="s">
        <v>164</v>
      </c>
      <c r="P185" s="35" t="s">
        <v>2155</v>
      </c>
    </row>
    <row r="186" spans="1:16" ht="409.6" x14ac:dyDescent="0.25">
      <c r="A186" s="35">
        <v>184</v>
      </c>
      <c r="B186" s="34" t="s">
        <v>18307</v>
      </c>
      <c r="C186" s="35"/>
      <c r="D186" s="34" t="s">
        <v>14922</v>
      </c>
      <c r="E186" s="34" t="s">
        <v>16192</v>
      </c>
      <c r="F186" s="34" t="s">
        <v>14925</v>
      </c>
      <c r="G186" s="34" t="s">
        <v>16255</v>
      </c>
      <c r="H186" s="34" t="s">
        <v>18308</v>
      </c>
      <c r="I186" s="35">
        <v>1</v>
      </c>
      <c r="J186" s="34" t="s">
        <v>18309</v>
      </c>
      <c r="K186" s="35"/>
      <c r="L186" s="34" t="s">
        <v>18068</v>
      </c>
      <c r="M186" s="35" t="s">
        <v>9</v>
      </c>
      <c r="N186" s="34" t="s">
        <v>18310</v>
      </c>
      <c r="O186" s="35" t="s">
        <v>164</v>
      </c>
      <c r="P186" s="35" t="s">
        <v>2155</v>
      </c>
    </row>
    <row r="187" spans="1:16" ht="409.6" x14ac:dyDescent="0.25">
      <c r="A187" s="35">
        <v>185</v>
      </c>
      <c r="B187" s="34" t="s">
        <v>18311</v>
      </c>
      <c r="C187" s="35"/>
      <c r="D187" s="34" t="s">
        <v>18312</v>
      </c>
      <c r="E187" s="34" t="s">
        <v>18313</v>
      </c>
      <c r="F187" s="34" t="s">
        <v>18314</v>
      </c>
      <c r="G187" s="34" t="s">
        <v>18315</v>
      </c>
      <c r="H187" s="34" t="s">
        <v>18316</v>
      </c>
      <c r="I187" s="35">
        <v>1</v>
      </c>
      <c r="J187" s="34" t="s">
        <v>18317</v>
      </c>
      <c r="K187" s="35"/>
      <c r="L187" s="34" t="s">
        <v>18068</v>
      </c>
      <c r="M187" s="35" t="s">
        <v>9</v>
      </c>
      <c r="N187" s="34" t="s">
        <v>18318</v>
      </c>
      <c r="O187" s="35" t="s">
        <v>164</v>
      </c>
      <c r="P187" s="35" t="s">
        <v>2155</v>
      </c>
    </row>
    <row r="188" spans="1:16" ht="409.6" x14ac:dyDescent="0.25">
      <c r="A188" s="35">
        <v>186</v>
      </c>
      <c r="B188" s="34" t="s">
        <v>18319</v>
      </c>
      <c r="C188" s="35"/>
      <c r="D188" s="34" t="s">
        <v>18320</v>
      </c>
      <c r="E188" s="34" t="s">
        <v>18321</v>
      </c>
      <c r="F188" s="34" t="s">
        <v>18322</v>
      </c>
      <c r="G188" s="34" t="s">
        <v>18323</v>
      </c>
      <c r="H188" s="34" t="s">
        <v>18324</v>
      </c>
      <c r="I188" s="35">
        <v>1</v>
      </c>
      <c r="J188" s="34" t="s">
        <v>18325</v>
      </c>
      <c r="K188" s="35"/>
      <c r="L188" s="34" t="s">
        <v>18068</v>
      </c>
      <c r="M188" s="35" t="s">
        <v>9</v>
      </c>
      <c r="N188" s="34" t="s">
        <v>18326</v>
      </c>
      <c r="O188" s="35" t="s">
        <v>164</v>
      </c>
      <c r="P188" s="35" t="s">
        <v>2155</v>
      </c>
    </row>
    <row r="189" spans="1:16" ht="409.6" x14ac:dyDescent="0.25">
      <c r="A189" s="35">
        <v>187</v>
      </c>
      <c r="B189" s="34" t="s">
        <v>18327</v>
      </c>
      <c r="C189" s="35"/>
      <c r="D189" s="34" t="s">
        <v>18328</v>
      </c>
      <c r="E189" s="34" t="s">
        <v>18329</v>
      </c>
      <c r="F189" s="34" t="s">
        <v>18330</v>
      </c>
      <c r="G189" s="34" t="s">
        <v>18331</v>
      </c>
      <c r="H189" s="34" t="s">
        <v>18332</v>
      </c>
      <c r="I189" s="35">
        <v>1</v>
      </c>
      <c r="J189" s="34" t="s">
        <v>18333</v>
      </c>
      <c r="K189" s="35"/>
      <c r="L189" s="34" t="s">
        <v>18068</v>
      </c>
      <c r="M189" s="35" t="s">
        <v>9</v>
      </c>
      <c r="N189" s="34" t="s">
        <v>18334</v>
      </c>
      <c r="O189" s="35" t="s">
        <v>164</v>
      </c>
      <c r="P189" s="35" t="s">
        <v>2155</v>
      </c>
    </row>
    <row r="190" spans="1:16" ht="409.6" x14ac:dyDescent="0.25">
      <c r="A190" s="35">
        <v>188</v>
      </c>
      <c r="B190" s="34" t="s">
        <v>18335</v>
      </c>
      <c r="C190" s="35"/>
      <c r="D190" s="34" t="s">
        <v>18336</v>
      </c>
      <c r="E190" s="34" t="s">
        <v>18337</v>
      </c>
      <c r="F190" s="34" t="s">
        <v>18338</v>
      </c>
      <c r="G190" s="34" t="s">
        <v>18339</v>
      </c>
      <c r="H190" s="34" t="s">
        <v>18340</v>
      </c>
      <c r="I190" s="35">
        <v>1</v>
      </c>
      <c r="J190" s="34" t="s">
        <v>18341</v>
      </c>
      <c r="K190" s="35"/>
      <c r="L190" s="34" t="s">
        <v>18068</v>
      </c>
      <c r="M190" s="35" t="s">
        <v>9</v>
      </c>
      <c r="N190" s="34" t="s">
        <v>18342</v>
      </c>
      <c r="O190" s="35" t="s">
        <v>164</v>
      </c>
      <c r="P190" s="35" t="s">
        <v>2155</v>
      </c>
    </row>
    <row r="191" spans="1:16" ht="409.6" x14ac:dyDescent="0.25">
      <c r="A191" s="35">
        <v>189</v>
      </c>
      <c r="B191" s="34" t="s">
        <v>18343</v>
      </c>
      <c r="C191" s="35"/>
      <c r="D191" s="34" t="s">
        <v>18344</v>
      </c>
      <c r="E191" s="34" t="s">
        <v>18345</v>
      </c>
      <c r="F191" s="34" t="s">
        <v>18346</v>
      </c>
      <c r="G191" s="34" t="s">
        <v>18347</v>
      </c>
      <c r="H191" s="34" t="s">
        <v>18348</v>
      </c>
      <c r="I191" s="35">
        <v>1</v>
      </c>
      <c r="J191" s="34" t="s">
        <v>18349</v>
      </c>
      <c r="K191" s="35"/>
      <c r="L191" s="34" t="s">
        <v>18068</v>
      </c>
      <c r="M191" s="35" t="s">
        <v>9</v>
      </c>
      <c r="N191" s="34" t="s">
        <v>18350</v>
      </c>
      <c r="O191" s="35" t="s">
        <v>164</v>
      </c>
      <c r="P191" s="35" t="s">
        <v>2155</v>
      </c>
    </row>
    <row r="192" spans="1:16" ht="409.6" x14ac:dyDescent="0.25">
      <c r="A192" s="35">
        <v>190</v>
      </c>
      <c r="B192" s="34" t="s">
        <v>18351</v>
      </c>
      <c r="C192" s="35"/>
      <c r="D192" s="34" t="s">
        <v>18352</v>
      </c>
      <c r="E192" s="34" t="s">
        <v>18353</v>
      </c>
      <c r="F192" s="34" t="s">
        <v>18354</v>
      </c>
      <c r="G192" s="34" t="s">
        <v>18355</v>
      </c>
      <c r="H192" s="34" t="s">
        <v>18356</v>
      </c>
      <c r="I192" s="35">
        <v>1</v>
      </c>
      <c r="J192" s="34" t="s">
        <v>18357</v>
      </c>
      <c r="K192" s="35"/>
      <c r="L192" s="34" t="s">
        <v>18068</v>
      </c>
      <c r="M192" s="35" t="s">
        <v>9</v>
      </c>
      <c r="N192" s="34" t="s">
        <v>18358</v>
      </c>
      <c r="O192" s="35" t="s">
        <v>164</v>
      </c>
      <c r="P192" s="35" t="s">
        <v>2155</v>
      </c>
    </row>
    <row r="193" spans="1:16" ht="409.6" x14ac:dyDescent="0.25">
      <c r="A193" s="35">
        <v>191</v>
      </c>
      <c r="B193" s="34" t="s">
        <v>18359</v>
      </c>
      <c r="C193" s="35"/>
      <c r="D193" s="34" t="s">
        <v>16753</v>
      </c>
      <c r="E193" s="34" t="s">
        <v>16754</v>
      </c>
      <c r="F193" s="34" t="s">
        <v>16755</v>
      </c>
      <c r="G193" s="34" t="s">
        <v>16756</v>
      </c>
      <c r="H193" s="34" t="s">
        <v>18360</v>
      </c>
      <c r="I193" s="35">
        <v>1</v>
      </c>
      <c r="J193" s="34" t="s">
        <v>18361</v>
      </c>
      <c r="K193" s="35"/>
      <c r="L193" s="34" t="s">
        <v>18068</v>
      </c>
      <c r="M193" s="35" t="s">
        <v>9</v>
      </c>
      <c r="N193" s="34" t="s">
        <v>18362</v>
      </c>
      <c r="O193" s="35" t="s">
        <v>164</v>
      </c>
      <c r="P193" s="35" t="s">
        <v>2155</v>
      </c>
    </row>
    <row r="194" spans="1:16" ht="409.6" x14ac:dyDescent="0.25">
      <c r="A194" s="35">
        <v>192</v>
      </c>
      <c r="B194" s="34" t="s">
        <v>18363</v>
      </c>
      <c r="C194" s="35"/>
      <c r="D194" s="34" t="s">
        <v>12762</v>
      </c>
      <c r="E194" s="34" t="s">
        <v>16045</v>
      </c>
      <c r="F194" s="34" t="s">
        <v>16046</v>
      </c>
      <c r="G194" s="34" t="s">
        <v>16047</v>
      </c>
      <c r="H194" s="34" t="s">
        <v>18364</v>
      </c>
      <c r="I194" s="35">
        <v>1</v>
      </c>
      <c r="J194" s="34" t="s">
        <v>18365</v>
      </c>
      <c r="K194" s="35"/>
      <c r="L194" s="34" t="s">
        <v>18068</v>
      </c>
      <c r="M194" s="35" t="s">
        <v>9</v>
      </c>
      <c r="N194" s="34" t="s">
        <v>18366</v>
      </c>
      <c r="O194" s="35" t="s">
        <v>164</v>
      </c>
      <c r="P194" s="35" t="s">
        <v>2155</v>
      </c>
    </row>
    <row r="195" spans="1:16" ht="409.6" x14ac:dyDescent="0.25">
      <c r="A195" s="35">
        <v>193</v>
      </c>
      <c r="B195" s="34" t="s">
        <v>18367</v>
      </c>
      <c r="C195" s="35"/>
      <c r="D195" s="34" t="s">
        <v>15318</v>
      </c>
      <c r="E195" s="34" t="s">
        <v>17083</v>
      </c>
      <c r="F195" s="34" t="s">
        <v>18142</v>
      </c>
      <c r="G195" s="34" t="s">
        <v>18368</v>
      </c>
      <c r="H195" s="34" t="s">
        <v>18369</v>
      </c>
      <c r="I195" s="35">
        <v>1</v>
      </c>
      <c r="J195" s="34" t="s">
        <v>18370</v>
      </c>
      <c r="K195" s="35"/>
      <c r="L195" s="34" t="s">
        <v>18068</v>
      </c>
      <c r="M195" s="35" t="s">
        <v>9</v>
      </c>
      <c r="N195" s="34" t="s">
        <v>18371</v>
      </c>
      <c r="O195" s="35" t="s">
        <v>164</v>
      </c>
      <c r="P195" s="35" t="s">
        <v>2155</v>
      </c>
    </row>
    <row r="196" spans="1:16" ht="409.6" x14ac:dyDescent="0.25">
      <c r="A196" s="35">
        <v>194</v>
      </c>
      <c r="B196" s="34" t="s">
        <v>18372</v>
      </c>
      <c r="C196" s="35"/>
      <c r="D196" s="34" t="s">
        <v>18373</v>
      </c>
      <c r="E196" s="34" t="s">
        <v>18374</v>
      </c>
      <c r="F196" s="34" t="s">
        <v>18375</v>
      </c>
      <c r="G196" s="34" t="s">
        <v>18376</v>
      </c>
      <c r="H196" s="34" t="s">
        <v>18377</v>
      </c>
      <c r="I196" s="35">
        <v>1</v>
      </c>
      <c r="J196" s="34" t="s">
        <v>18378</v>
      </c>
      <c r="K196" s="35"/>
      <c r="L196" s="34" t="s">
        <v>18068</v>
      </c>
      <c r="M196" s="35" t="s">
        <v>9</v>
      </c>
      <c r="N196" s="34" t="s">
        <v>18379</v>
      </c>
      <c r="O196" s="35" t="s">
        <v>164</v>
      </c>
      <c r="P196" s="35" t="s">
        <v>2155</v>
      </c>
    </row>
    <row r="197" spans="1:16" ht="409.6" x14ac:dyDescent="0.25">
      <c r="A197" s="35">
        <v>195</v>
      </c>
      <c r="B197" s="34" t="s">
        <v>18380</v>
      </c>
      <c r="C197" s="35"/>
      <c r="D197" s="34" t="s">
        <v>18381</v>
      </c>
      <c r="E197" s="34" t="s">
        <v>18382</v>
      </c>
      <c r="F197" s="34" t="s">
        <v>18089</v>
      </c>
      <c r="G197" s="34" t="s">
        <v>18383</v>
      </c>
      <c r="H197" s="34" t="s">
        <v>18384</v>
      </c>
      <c r="I197" s="35">
        <v>1</v>
      </c>
      <c r="J197" s="34" t="s">
        <v>18385</v>
      </c>
      <c r="K197" s="35"/>
      <c r="L197" s="34" t="s">
        <v>18068</v>
      </c>
      <c r="M197" s="35" t="s">
        <v>9</v>
      </c>
      <c r="N197" s="34" t="s">
        <v>18386</v>
      </c>
      <c r="O197" s="35" t="s">
        <v>164</v>
      </c>
      <c r="P197" s="35" t="s">
        <v>2155</v>
      </c>
    </row>
    <row r="198" spans="1:16" ht="409.6" x14ac:dyDescent="0.25">
      <c r="A198" s="35">
        <v>196</v>
      </c>
      <c r="B198" s="34" t="s">
        <v>18387</v>
      </c>
      <c r="C198" s="35"/>
      <c r="D198" s="34" t="s">
        <v>18388</v>
      </c>
      <c r="E198" s="34" t="s">
        <v>18389</v>
      </c>
      <c r="F198" s="34" t="s">
        <v>18390</v>
      </c>
      <c r="G198" s="34" t="s">
        <v>18391</v>
      </c>
      <c r="H198" s="34" t="s">
        <v>18392</v>
      </c>
      <c r="I198" s="35">
        <v>1</v>
      </c>
      <c r="J198" s="34" t="s">
        <v>18393</v>
      </c>
      <c r="K198" s="35"/>
      <c r="L198" s="34" t="s">
        <v>18068</v>
      </c>
      <c r="M198" s="35" t="s">
        <v>9</v>
      </c>
      <c r="N198" s="34" t="s">
        <v>18394</v>
      </c>
      <c r="O198" s="35" t="s">
        <v>164</v>
      </c>
      <c r="P198" s="35" t="s">
        <v>2155</v>
      </c>
    </row>
    <row r="199" spans="1:16" ht="409.6" x14ac:dyDescent="0.25">
      <c r="A199" s="35">
        <v>197</v>
      </c>
      <c r="B199" s="34" t="s">
        <v>18395</v>
      </c>
      <c r="C199" s="35"/>
      <c r="D199" s="34" t="s">
        <v>18396</v>
      </c>
      <c r="E199" s="34" t="s">
        <v>18397</v>
      </c>
      <c r="F199" s="34" t="s">
        <v>18398</v>
      </c>
      <c r="G199" s="34" t="s">
        <v>18399</v>
      </c>
      <c r="H199" s="34" t="s">
        <v>18400</v>
      </c>
      <c r="I199" s="35">
        <v>1</v>
      </c>
      <c r="J199" s="34" t="s">
        <v>18401</v>
      </c>
      <c r="K199" s="35"/>
      <c r="L199" s="34" t="s">
        <v>18068</v>
      </c>
      <c r="M199" s="35" t="s">
        <v>9</v>
      </c>
      <c r="N199" s="34" t="s">
        <v>18402</v>
      </c>
      <c r="O199" s="35" t="s">
        <v>164</v>
      </c>
      <c r="P199" s="35" t="s">
        <v>2155</v>
      </c>
    </row>
    <row r="200" spans="1:16" ht="409.6" x14ac:dyDescent="0.25">
      <c r="A200" s="35">
        <v>198</v>
      </c>
      <c r="B200" s="34" t="s">
        <v>18403</v>
      </c>
      <c r="C200" s="35"/>
      <c r="D200" s="34" t="s">
        <v>18404</v>
      </c>
      <c r="E200" s="34" t="s">
        <v>18405</v>
      </c>
      <c r="F200" s="34" t="s">
        <v>18406</v>
      </c>
      <c r="G200" s="34" t="s">
        <v>18407</v>
      </c>
      <c r="H200" s="34" t="s">
        <v>18408</v>
      </c>
      <c r="I200" s="35">
        <v>1</v>
      </c>
      <c r="J200" s="34" t="s">
        <v>18409</v>
      </c>
      <c r="K200" s="35"/>
      <c r="L200" s="34" t="s">
        <v>18068</v>
      </c>
      <c r="M200" s="35" t="s">
        <v>9</v>
      </c>
      <c r="N200" s="34" t="s">
        <v>18410</v>
      </c>
      <c r="O200" s="35" t="s">
        <v>164</v>
      </c>
      <c r="P200" s="35" t="s">
        <v>2155</v>
      </c>
    </row>
    <row r="201" spans="1:16" ht="409.6" x14ac:dyDescent="0.25">
      <c r="A201" s="35">
        <v>199</v>
      </c>
      <c r="B201" s="34" t="s">
        <v>17329</v>
      </c>
      <c r="C201" s="35"/>
      <c r="D201" s="34" t="s">
        <v>17083</v>
      </c>
      <c r="E201" s="34" t="s">
        <v>11123</v>
      </c>
      <c r="F201" s="34" t="s">
        <v>17330</v>
      </c>
      <c r="G201" s="34" t="s">
        <v>14022</v>
      </c>
      <c r="H201" s="34" t="s">
        <v>18411</v>
      </c>
      <c r="I201" s="35">
        <v>1</v>
      </c>
      <c r="J201" s="34" t="s">
        <v>18412</v>
      </c>
      <c r="K201" s="35"/>
      <c r="L201" s="34" t="s">
        <v>18068</v>
      </c>
      <c r="M201" s="35" t="s">
        <v>9</v>
      </c>
      <c r="N201" s="34" t="s">
        <v>18413</v>
      </c>
      <c r="O201" s="35" t="s">
        <v>164</v>
      </c>
      <c r="P201" s="35" t="s">
        <v>2155</v>
      </c>
    </row>
    <row r="202" spans="1:16" ht="409.6" x14ac:dyDescent="0.25">
      <c r="A202" s="35">
        <v>200</v>
      </c>
      <c r="B202" s="34" t="s">
        <v>18414</v>
      </c>
      <c r="C202" s="35"/>
      <c r="D202" s="34" t="s">
        <v>18415</v>
      </c>
      <c r="E202" s="34" t="s">
        <v>18416</v>
      </c>
      <c r="F202" s="34" t="s">
        <v>18417</v>
      </c>
      <c r="G202" s="34" t="s">
        <v>18418</v>
      </c>
      <c r="H202" s="34" t="s">
        <v>18419</v>
      </c>
      <c r="I202" s="35">
        <v>1</v>
      </c>
      <c r="J202" s="34" t="s">
        <v>18420</v>
      </c>
      <c r="K202" s="35"/>
      <c r="L202" s="34" t="s">
        <v>18068</v>
      </c>
      <c r="M202" s="35" t="s">
        <v>9</v>
      </c>
      <c r="N202" s="34" t="s">
        <v>18421</v>
      </c>
      <c r="O202" s="35" t="s">
        <v>164</v>
      </c>
      <c r="P202" s="35" t="s">
        <v>2155</v>
      </c>
    </row>
    <row r="203" spans="1:16" ht="409.6" x14ac:dyDescent="0.25">
      <c r="A203" s="35">
        <v>201</v>
      </c>
      <c r="B203" s="34" t="s">
        <v>18422</v>
      </c>
      <c r="C203" s="35"/>
      <c r="D203" s="34" t="s">
        <v>11124</v>
      </c>
      <c r="E203" s="34" t="s">
        <v>18423</v>
      </c>
      <c r="F203" s="34" t="s">
        <v>17117</v>
      </c>
      <c r="G203" s="34" t="s">
        <v>15318</v>
      </c>
      <c r="H203" s="34" t="s">
        <v>18424</v>
      </c>
      <c r="I203" s="35">
        <v>1</v>
      </c>
      <c r="J203" s="34" t="s">
        <v>18425</v>
      </c>
      <c r="K203" s="35"/>
      <c r="L203" s="34" t="s">
        <v>18068</v>
      </c>
      <c r="M203" s="35" t="s">
        <v>9</v>
      </c>
      <c r="N203" s="34" t="s">
        <v>18426</v>
      </c>
      <c r="O203" s="35" t="s">
        <v>164</v>
      </c>
      <c r="P203" s="35" t="s">
        <v>2155</v>
      </c>
    </row>
    <row r="204" spans="1:16" ht="409.6" x14ac:dyDescent="0.25">
      <c r="A204" s="35">
        <v>202</v>
      </c>
      <c r="B204" s="34" t="s">
        <v>18427</v>
      </c>
      <c r="C204" s="35"/>
      <c r="D204" s="34" t="s">
        <v>3301</v>
      </c>
      <c r="E204" s="34" t="s">
        <v>3298</v>
      </c>
      <c r="F204" s="34" t="s">
        <v>17742</v>
      </c>
      <c r="G204" s="34" t="s">
        <v>10037</v>
      </c>
      <c r="H204" s="34" t="s">
        <v>18428</v>
      </c>
      <c r="I204" s="35">
        <v>1</v>
      </c>
      <c r="J204" s="34" t="s">
        <v>18429</v>
      </c>
      <c r="K204" s="35"/>
      <c r="L204" s="34" t="s">
        <v>18068</v>
      </c>
      <c r="M204" s="35" t="s">
        <v>9</v>
      </c>
      <c r="N204" s="34" t="s">
        <v>18430</v>
      </c>
      <c r="O204" s="35" t="s">
        <v>164</v>
      </c>
      <c r="P204" s="35" t="s">
        <v>2155</v>
      </c>
    </row>
    <row r="205" spans="1:16" ht="409.6" x14ac:dyDescent="0.25">
      <c r="A205" s="35">
        <v>203</v>
      </c>
      <c r="B205" s="34" t="s">
        <v>18431</v>
      </c>
      <c r="C205" s="35"/>
      <c r="D205" s="34" t="s">
        <v>18432</v>
      </c>
      <c r="E205" s="34" t="s">
        <v>18433</v>
      </c>
      <c r="F205" s="34" t="s">
        <v>18434</v>
      </c>
      <c r="G205" s="34" t="s">
        <v>18435</v>
      </c>
      <c r="H205" s="34" t="s">
        <v>18436</v>
      </c>
      <c r="I205" s="35">
        <v>1</v>
      </c>
      <c r="J205" s="34" t="s">
        <v>18437</v>
      </c>
      <c r="K205" s="35"/>
      <c r="L205" s="34" t="s">
        <v>18068</v>
      </c>
      <c r="M205" s="35" t="s">
        <v>9</v>
      </c>
      <c r="N205" s="34" t="s">
        <v>18438</v>
      </c>
      <c r="O205" s="35" t="s">
        <v>164</v>
      </c>
      <c r="P205" s="35" t="s">
        <v>2155</v>
      </c>
    </row>
    <row r="206" spans="1:16" ht="409.6" x14ac:dyDescent="0.25">
      <c r="A206" s="35">
        <v>204</v>
      </c>
      <c r="B206" s="34" t="s">
        <v>18439</v>
      </c>
      <c r="C206" s="35"/>
      <c r="D206" s="34" t="s">
        <v>18440</v>
      </c>
      <c r="E206" s="34" t="s">
        <v>18441</v>
      </c>
      <c r="F206" s="34" t="s">
        <v>18442</v>
      </c>
      <c r="G206" s="34" t="s">
        <v>18443</v>
      </c>
      <c r="H206" s="34" t="s">
        <v>18444</v>
      </c>
      <c r="I206" s="35">
        <v>1</v>
      </c>
      <c r="J206" s="34" t="s">
        <v>18445</v>
      </c>
      <c r="K206" s="35"/>
      <c r="L206" s="34" t="s">
        <v>18068</v>
      </c>
      <c r="M206" s="35" t="s">
        <v>9</v>
      </c>
      <c r="N206" s="34" t="s">
        <v>18446</v>
      </c>
      <c r="O206" s="35" t="s">
        <v>164</v>
      </c>
      <c r="P206" s="35" t="s">
        <v>2155</v>
      </c>
    </row>
    <row r="207" spans="1:16" ht="409.6" x14ac:dyDescent="0.25">
      <c r="A207" s="35">
        <v>205</v>
      </c>
      <c r="B207" s="34" t="s">
        <v>18447</v>
      </c>
      <c r="C207" s="35"/>
      <c r="D207" s="34" t="s">
        <v>14922</v>
      </c>
      <c r="E207" s="34" t="s">
        <v>16192</v>
      </c>
      <c r="F207" s="34" t="s">
        <v>14925</v>
      </c>
      <c r="G207" s="34" t="s">
        <v>16255</v>
      </c>
      <c r="H207" s="34" t="s">
        <v>18448</v>
      </c>
      <c r="I207" s="35">
        <v>4</v>
      </c>
      <c r="J207" s="34" t="s">
        <v>18449</v>
      </c>
      <c r="K207" s="35"/>
      <c r="L207" s="34" t="s">
        <v>18068</v>
      </c>
      <c r="M207" s="35" t="s">
        <v>9</v>
      </c>
      <c r="N207" s="34" t="s">
        <v>18450</v>
      </c>
      <c r="O207" s="35" t="s">
        <v>164</v>
      </c>
      <c r="P207" s="35" t="s">
        <v>3354</v>
      </c>
    </row>
    <row r="208" spans="1:16" ht="409.6" x14ac:dyDescent="0.25">
      <c r="A208" s="35">
        <v>206</v>
      </c>
      <c r="B208" s="34" t="s">
        <v>18451</v>
      </c>
      <c r="C208" s="35"/>
      <c r="D208" s="34" t="s">
        <v>16992</v>
      </c>
      <c r="E208" s="34" t="s">
        <v>17454</v>
      </c>
      <c r="F208" s="34" t="s">
        <v>9825</v>
      </c>
      <c r="G208" s="34" t="s">
        <v>17386</v>
      </c>
      <c r="H208" s="34" t="s">
        <v>18452</v>
      </c>
      <c r="I208" s="35">
        <v>4</v>
      </c>
      <c r="J208" s="34" t="s">
        <v>18453</v>
      </c>
      <c r="K208" s="35"/>
      <c r="L208" s="34" t="s">
        <v>18068</v>
      </c>
      <c r="M208" s="35" t="s">
        <v>9</v>
      </c>
      <c r="N208" s="34" t="s">
        <v>18454</v>
      </c>
      <c r="O208" s="35" t="s">
        <v>164</v>
      </c>
      <c r="P208" s="35" t="s">
        <v>3354</v>
      </c>
    </row>
    <row r="209" spans="1:16" ht="409.6" x14ac:dyDescent="0.25">
      <c r="A209" s="35">
        <v>207</v>
      </c>
      <c r="B209" s="34" t="s">
        <v>18455</v>
      </c>
      <c r="C209" s="35"/>
      <c r="D209" s="34" t="s">
        <v>10288</v>
      </c>
      <c r="E209" s="34" t="s">
        <v>3298</v>
      </c>
      <c r="F209" s="34" t="s">
        <v>18456</v>
      </c>
      <c r="G209" s="34" t="s">
        <v>18457</v>
      </c>
      <c r="H209" s="34" t="s">
        <v>18458</v>
      </c>
      <c r="I209" s="35">
        <v>4</v>
      </c>
      <c r="J209" s="34" t="s">
        <v>18459</v>
      </c>
      <c r="K209" s="35"/>
      <c r="L209" s="34" t="s">
        <v>18068</v>
      </c>
      <c r="M209" s="35" t="s">
        <v>9</v>
      </c>
      <c r="N209" s="34" t="s">
        <v>18460</v>
      </c>
      <c r="O209" s="35" t="s">
        <v>164</v>
      </c>
      <c r="P209" s="35" t="s">
        <v>3354</v>
      </c>
    </row>
    <row r="210" spans="1:16" ht="409.6" x14ac:dyDescent="0.25">
      <c r="A210" s="35">
        <v>208</v>
      </c>
      <c r="B210" s="34" t="s">
        <v>18461</v>
      </c>
      <c r="C210" s="35"/>
      <c r="D210" s="34" t="s">
        <v>18462</v>
      </c>
      <c r="E210" s="34" t="s">
        <v>18463</v>
      </c>
      <c r="F210" s="34" t="s">
        <v>18464</v>
      </c>
      <c r="G210" s="34" t="s">
        <v>18465</v>
      </c>
      <c r="H210" s="34" t="s">
        <v>18466</v>
      </c>
      <c r="I210" s="35">
        <v>4</v>
      </c>
      <c r="J210" s="34" t="s">
        <v>18467</v>
      </c>
      <c r="K210" s="35"/>
      <c r="L210" s="34" t="s">
        <v>18068</v>
      </c>
      <c r="M210" s="35" t="s">
        <v>9</v>
      </c>
      <c r="N210" s="34" t="s">
        <v>18468</v>
      </c>
      <c r="O210" s="35" t="s">
        <v>164</v>
      </c>
      <c r="P210" s="35" t="s">
        <v>3354</v>
      </c>
    </row>
    <row r="211" spans="1:16" ht="409.6" x14ac:dyDescent="0.25">
      <c r="A211" s="35">
        <v>209</v>
      </c>
      <c r="B211" s="34" t="s">
        <v>18469</v>
      </c>
      <c r="C211" s="35"/>
      <c r="D211" s="34" t="s">
        <v>16141</v>
      </c>
      <c r="E211" s="34" t="s">
        <v>9825</v>
      </c>
      <c r="F211" s="34" t="s">
        <v>16992</v>
      </c>
      <c r="G211" s="34" t="s">
        <v>16142</v>
      </c>
      <c r="H211" s="34" t="s">
        <v>18470</v>
      </c>
      <c r="I211" s="35">
        <v>3</v>
      </c>
      <c r="J211" s="34" t="s">
        <v>18471</v>
      </c>
      <c r="K211" s="35"/>
      <c r="L211" s="34" t="s">
        <v>18068</v>
      </c>
      <c r="M211" s="35" t="s">
        <v>9</v>
      </c>
      <c r="N211" s="34" t="s">
        <v>18472</v>
      </c>
      <c r="O211" s="35" t="s">
        <v>164</v>
      </c>
      <c r="P211" s="35" t="s">
        <v>3354</v>
      </c>
    </row>
    <row r="212" spans="1:16" ht="409.6" x14ac:dyDescent="0.25">
      <c r="A212" s="35">
        <v>210</v>
      </c>
      <c r="B212" s="34" t="s">
        <v>18473</v>
      </c>
      <c r="C212" s="35"/>
      <c r="D212" s="34" t="s">
        <v>6028</v>
      </c>
      <c r="E212" s="34" t="s">
        <v>10036</v>
      </c>
      <c r="F212" s="34" t="s">
        <v>18474</v>
      </c>
      <c r="G212" s="34" t="s">
        <v>18475</v>
      </c>
      <c r="H212" s="34" t="s">
        <v>18476</v>
      </c>
      <c r="I212" s="35">
        <v>2</v>
      </c>
      <c r="J212" s="34" t="s">
        <v>18477</v>
      </c>
      <c r="K212" s="35"/>
      <c r="L212" s="34" t="s">
        <v>18068</v>
      </c>
      <c r="M212" s="35" t="s">
        <v>9</v>
      </c>
      <c r="N212" s="34" t="s">
        <v>18478</v>
      </c>
      <c r="O212" s="35" t="s">
        <v>164</v>
      </c>
      <c r="P212" s="35" t="s">
        <v>3354</v>
      </c>
    </row>
    <row r="213" spans="1:16" ht="409.6" x14ac:dyDescent="0.25">
      <c r="A213" s="35">
        <v>211</v>
      </c>
      <c r="B213" s="34" t="s">
        <v>18479</v>
      </c>
      <c r="C213" s="35"/>
      <c r="D213" s="34" t="s">
        <v>18480</v>
      </c>
      <c r="E213" s="34" t="s">
        <v>18481</v>
      </c>
      <c r="F213" s="34" t="s">
        <v>18482</v>
      </c>
      <c r="G213" s="34" t="s">
        <v>18483</v>
      </c>
      <c r="H213" s="34" t="s">
        <v>18484</v>
      </c>
      <c r="I213" s="35">
        <v>1</v>
      </c>
      <c r="J213" s="34" t="s">
        <v>18485</v>
      </c>
      <c r="K213" s="35"/>
      <c r="L213" s="34" t="s">
        <v>18068</v>
      </c>
      <c r="M213" s="35" t="s">
        <v>9</v>
      </c>
      <c r="N213" s="34" t="s">
        <v>18486</v>
      </c>
      <c r="O213" s="35" t="s">
        <v>164</v>
      </c>
      <c r="P213" s="35" t="s">
        <v>3354</v>
      </c>
    </row>
    <row r="214" spans="1:16" ht="409.6" x14ac:dyDescent="0.25">
      <c r="A214" s="35">
        <v>212</v>
      </c>
      <c r="B214" s="34" t="s">
        <v>18487</v>
      </c>
      <c r="C214" s="35"/>
      <c r="D214" s="34" t="s">
        <v>18488</v>
      </c>
      <c r="E214" s="34" t="s">
        <v>18489</v>
      </c>
      <c r="F214" s="34" t="s">
        <v>18490</v>
      </c>
      <c r="G214" s="34" t="s">
        <v>18491</v>
      </c>
      <c r="H214" s="34" t="s">
        <v>18492</v>
      </c>
      <c r="I214" s="35">
        <v>3</v>
      </c>
      <c r="J214" s="34" t="s">
        <v>18493</v>
      </c>
      <c r="K214" s="35"/>
      <c r="L214" s="34" t="s">
        <v>18068</v>
      </c>
      <c r="M214" s="35" t="s">
        <v>9</v>
      </c>
      <c r="N214" s="34" t="s">
        <v>18494</v>
      </c>
      <c r="O214" s="35" t="s">
        <v>164</v>
      </c>
      <c r="P214" s="35" t="s">
        <v>3354</v>
      </c>
    </row>
    <row r="215" spans="1:16" ht="409.6" x14ac:dyDescent="0.25">
      <c r="A215" s="35">
        <v>213</v>
      </c>
      <c r="B215" s="34" t="s">
        <v>18495</v>
      </c>
      <c r="C215" s="35"/>
      <c r="D215" s="34" t="s">
        <v>16753</v>
      </c>
      <c r="E215" s="34" t="s">
        <v>16754</v>
      </c>
      <c r="F215" s="34" t="s">
        <v>16755</v>
      </c>
      <c r="G215" s="34" t="s">
        <v>16756</v>
      </c>
      <c r="H215" s="34" t="s">
        <v>18496</v>
      </c>
      <c r="I215" s="35">
        <v>3</v>
      </c>
      <c r="J215" s="34" t="s">
        <v>18497</v>
      </c>
      <c r="K215" s="35"/>
      <c r="L215" s="34" t="s">
        <v>18068</v>
      </c>
      <c r="M215" s="35" t="s">
        <v>9</v>
      </c>
      <c r="N215" s="34" t="s">
        <v>18498</v>
      </c>
      <c r="O215" s="35" t="s">
        <v>164</v>
      </c>
      <c r="P215" s="35" t="s">
        <v>3354</v>
      </c>
    </row>
    <row r="216" spans="1:16" ht="409.6" x14ac:dyDescent="0.25">
      <c r="A216" s="35">
        <v>214</v>
      </c>
      <c r="B216" s="34" t="s">
        <v>18499</v>
      </c>
      <c r="C216" s="35"/>
      <c r="D216" s="34" t="s">
        <v>18352</v>
      </c>
      <c r="E216" s="34" t="s">
        <v>18500</v>
      </c>
      <c r="F216" s="34" t="s">
        <v>18501</v>
      </c>
      <c r="G216" s="34" t="s">
        <v>18502</v>
      </c>
      <c r="H216" s="34" t="s">
        <v>18503</v>
      </c>
      <c r="I216" s="35">
        <v>1</v>
      </c>
      <c r="J216" s="34" t="s">
        <v>18504</v>
      </c>
      <c r="K216" s="35"/>
      <c r="L216" s="34" t="s">
        <v>18068</v>
      </c>
      <c r="M216" s="35" t="s">
        <v>9</v>
      </c>
      <c r="N216" s="34" t="s">
        <v>18505</v>
      </c>
      <c r="O216" s="35" t="s">
        <v>164</v>
      </c>
      <c r="P216" s="35" t="s">
        <v>3354</v>
      </c>
    </row>
    <row r="217" spans="1:16" ht="409.6" x14ac:dyDescent="0.25">
      <c r="A217" s="35">
        <v>215</v>
      </c>
      <c r="B217" s="34" t="s">
        <v>18506</v>
      </c>
      <c r="C217" s="35"/>
      <c r="D217" s="34" t="s">
        <v>15318</v>
      </c>
      <c r="E217" s="34" t="s">
        <v>17083</v>
      </c>
      <c r="F217" s="34" t="s">
        <v>18142</v>
      </c>
      <c r="G217" s="34" t="s">
        <v>18368</v>
      </c>
      <c r="H217" s="34" t="s">
        <v>18507</v>
      </c>
      <c r="I217" s="35">
        <v>3</v>
      </c>
      <c r="J217" s="34" t="s">
        <v>18508</v>
      </c>
      <c r="K217" s="35"/>
      <c r="L217" s="34" t="s">
        <v>18068</v>
      </c>
      <c r="M217" s="35" t="s">
        <v>9</v>
      </c>
      <c r="N217" s="34" t="s">
        <v>18509</v>
      </c>
      <c r="O217" s="35" t="s">
        <v>164</v>
      </c>
      <c r="P217" s="35" t="s">
        <v>3354</v>
      </c>
    </row>
    <row r="218" spans="1:16" ht="409.6" x14ac:dyDescent="0.25">
      <c r="A218" s="35">
        <v>216</v>
      </c>
      <c r="B218" s="34" t="s">
        <v>18510</v>
      </c>
      <c r="C218" s="35"/>
      <c r="D218" s="34" t="s">
        <v>18511</v>
      </c>
      <c r="E218" s="34" t="s">
        <v>18512</v>
      </c>
      <c r="F218" s="34" t="s">
        <v>18513</v>
      </c>
      <c r="G218" s="34" t="s">
        <v>18514</v>
      </c>
      <c r="H218" s="34" t="s">
        <v>18515</v>
      </c>
      <c r="I218" s="35">
        <v>3</v>
      </c>
      <c r="J218" s="34" t="s">
        <v>18516</v>
      </c>
      <c r="K218" s="35"/>
      <c r="L218" s="34" t="s">
        <v>18068</v>
      </c>
      <c r="M218" s="35" t="s">
        <v>9</v>
      </c>
      <c r="N218" s="34" t="s">
        <v>18517</v>
      </c>
      <c r="O218" s="35" t="s">
        <v>164</v>
      </c>
      <c r="P218" s="35" t="s">
        <v>3354</v>
      </c>
    </row>
    <row r="219" spans="1:16" ht="409.6" x14ac:dyDescent="0.25">
      <c r="A219" s="35">
        <v>217</v>
      </c>
      <c r="B219" s="34" t="s">
        <v>18518</v>
      </c>
      <c r="C219" s="35"/>
      <c r="D219" s="34" t="s">
        <v>18105</v>
      </c>
      <c r="E219" s="34" t="s">
        <v>18519</v>
      </c>
      <c r="F219" s="34" t="s">
        <v>18520</v>
      </c>
      <c r="G219" s="34" t="s">
        <v>18089</v>
      </c>
      <c r="H219" s="34" t="s">
        <v>18521</v>
      </c>
      <c r="I219" s="35">
        <v>2</v>
      </c>
      <c r="J219" s="34" t="s">
        <v>18522</v>
      </c>
      <c r="K219" s="35"/>
      <c r="L219" s="34" t="s">
        <v>18068</v>
      </c>
      <c r="M219" s="35" t="s">
        <v>9</v>
      </c>
      <c r="N219" s="34" t="s">
        <v>18523</v>
      </c>
      <c r="O219" s="35" t="s">
        <v>164</v>
      </c>
      <c r="P219" s="35" t="s">
        <v>3354</v>
      </c>
    </row>
    <row r="220" spans="1:16" ht="409.6" x14ac:dyDescent="0.25">
      <c r="A220" s="35">
        <v>218</v>
      </c>
      <c r="B220" s="34" t="s">
        <v>18524</v>
      </c>
      <c r="C220" s="35"/>
      <c r="D220" s="34" t="s">
        <v>18525</v>
      </c>
      <c r="E220" s="34" t="s">
        <v>18526</v>
      </c>
      <c r="F220" s="34" t="s">
        <v>18527</v>
      </c>
      <c r="G220" s="34" t="s">
        <v>18528</v>
      </c>
      <c r="H220" s="34" t="s">
        <v>18529</v>
      </c>
      <c r="I220" s="35">
        <v>1</v>
      </c>
      <c r="J220" s="34" t="s">
        <v>18530</v>
      </c>
      <c r="K220" s="35"/>
      <c r="L220" s="34" t="s">
        <v>18068</v>
      </c>
      <c r="M220" s="35" t="s">
        <v>9</v>
      </c>
      <c r="N220" s="34" t="s">
        <v>18531</v>
      </c>
      <c r="O220" s="35" t="s">
        <v>164</v>
      </c>
      <c r="P220" s="35" t="s">
        <v>3354</v>
      </c>
    </row>
    <row r="221" spans="1:16" ht="409.6" x14ac:dyDescent="0.25">
      <c r="A221" s="35">
        <v>219</v>
      </c>
      <c r="B221" s="34" t="s">
        <v>18532</v>
      </c>
      <c r="C221" s="35"/>
      <c r="D221" s="34" t="s">
        <v>18292</v>
      </c>
      <c r="E221" s="34" t="s">
        <v>18293</v>
      </c>
      <c r="F221" s="34" t="s">
        <v>18294</v>
      </c>
      <c r="G221" s="34" t="s">
        <v>18295</v>
      </c>
      <c r="H221" s="34" t="s">
        <v>18533</v>
      </c>
      <c r="I221" s="35">
        <v>1</v>
      </c>
      <c r="J221" s="34" t="s">
        <v>18534</v>
      </c>
      <c r="K221" s="35"/>
      <c r="L221" s="34" t="s">
        <v>18068</v>
      </c>
      <c r="M221" s="35" t="s">
        <v>9</v>
      </c>
      <c r="N221" s="34" t="s">
        <v>18535</v>
      </c>
      <c r="O221" s="35" t="s">
        <v>164</v>
      </c>
      <c r="P221" s="35" t="s">
        <v>3354</v>
      </c>
    </row>
    <row r="222" spans="1:16" ht="409.6" x14ac:dyDescent="0.25">
      <c r="A222" s="35">
        <v>220</v>
      </c>
      <c r="B222" s="34" t="s">
        <v>18536</v>
      </c>
      <c r="C222" s="35"/>
      <c r="D222" s="34" t="s">
        <v>18537</v>
      </c>
      <c r="E222" s="34" t="s">
        <v>2230</v>
      </c>
      <c r="F222" s="34" t="s">
        <v>18538</v>
      </c>
      <c r="G222" s="34" t="s">
        <v>18539</v>
      </c>
      <c r="H222" s="34" t="s">
        <v>18540</v>
      </c>
      <c r="I222" s="35">
        <v>2</v>
      </c>
      <c r="J222" s="34" t="s">
        <v>18541</v>
      </c>
      <c r="K222" s="35"/>
      <c r="L222" s="34" t="s">
        <v>18068</v>
      </c>
      <c r="M222" s="35" t="s">
        <v>9</v>
      </c>
      <c r="N222" s="34" t="s">
        <v>18542</v>
      </c>
      <c r="O222" s="35" t="s">
        <v>164</v>
      </c>
      <c r="P222" s="35" t="s">
        <v>3354</v>
      </c>
    </row>
    <row r="223" spans="1:16" ht="409.6" x14ac:dyDescent="0.25">
      <c r="A223" s="35">
        <v>221</v>
      </c>
      <c r="B223" s="34" t="s">
        <v>18543</v>
      </c>
      <c r="C223" s="35"/>
      <c r="D223" s="34" t="s">
        <v>18544</v>
      </c>
      <c r="E223" s="34" t="s">
        <v>18545</v>
      </c>
      <c r="F223" s="34" t="s">
        <v>18546</v>
      </c>
      <c r="G223" s="34" t="s">
        <v>18547</v>
      </c>
      <c r="H223" s="34" t="s">
        <v>18548</v>
      </c>
      <c r="I223" s="35">
        <v>2</v>
      </c>
      <c r="J223" s="34" t="s">
        <v>18549</v>
      </c>
      <c r="K223" s="35"/>
      <c r="L223" s="34" t="s">
        <v>18068</v>
      </c>
      <c r="M223" s="35" t="s">
        <v>9</v>
      </c>
      <c r="N223" s="34" t="s">
        <v>18550</v>
      </c>
      <c r="O223" s="35" t="s">
        <v>164</v>
      </c>
      <c r="P223" s="35" t="s">
        <v>3354</v>
      </c>
    </row>
    <row r="224" spans="1:16" ht="409.6" x14ac:dyDescent="0.25">
      <c r="A224" s="35">
        <v>222</v>
      </c>
      <c r="B224" s="34" t="s">
        <v>18551</v>
      </c>
      <c r="C224" s="35"/>
      <c r="D224" s="34" t="s">
        <v>18552</v>
      </c>
      <c r="E224" s="34" t="s">
        <v>18553</v>
      </c>
      <c r="F224" s="34" t="s">
        <v>18554</v>
      </c>
      <c r="G224" s="34" t="s">
        <v>18555</v>
      </c>
      <c r="H224" s="34" t="s">
        <v>18556</v>
      </c>
      <c r="I224" s="35">
        <v>1</v>
      </c>
      <c r="J224" s="34" t="s">
        <v>18557</v>
      </c>
      <c r="K224" s="35"/>
      <c r="L224" s="34" t="s">
        <v>18068</v>
      </c>
      <c r="M224" s="35" t="s">
        <v>9</v>
      </c>
      <c r="N224" s="34" t="s">
        <v>18558</v>
      </c>
      <c r="O224" s="35" t="s">
        <v>164</v>
      </c>
      <c r="P224" s="35" t="s">
        <v>3354</v>
      </c>
    </row>
    <row r="225" spans="1:16" ht="409.6" x14ac:dyDescent="0.25">
      <c r="A225" s="35">
        <v>223</v>
      </c>
      <c r="B225" s="34" t="s">
        <v>18559</v>
      </c>
      <c r="C225" s="35"/>
      <c r="D225" s="34" t="s">
        <v>16694</v>
      </c>
      <c r="E225" s="34" t="s">
        <v>16695</v>
      </c>
      <c r="F225" s="34" t="s">
        <v>16696</v>
      </c>
      <c r="G225" s="34" t="s">
        <v>16697</v>
      </c>
      <c r="H225" s="34" t="s">
        <v>18560</v>
      </c>
      <c r="I225" s="35">
        <v>1</v>
      </c>
      <c r="J225" s="34" t="s">
        <v>18561</v>
      </c>
      <c r="K225" s="35"/>
      <c r="L225" s="34" t="s">
        <v>18068</v>
      </c>
      <c r="M225" s="35" t="s">
        <v>9</v>
      </c>
      <c r="N225" s="34" t="s">
        <v>14522</v>
      </c>
      <c r="O225" s="35" t="s">
        <v>164</v>
      </c>
      <c r="P225" s="35" t="s">
        <v>2206</v>
      </c>
    </row>
    <row r="226" spans="1:16" ht="409.6" x14ac:dyDescent="0.25">
      <c r="A226" s="35">
        <v>224</v>
      </c>
      <c r="B226" s="34" t="s">
        <v>18562</v>
      </c>
      <c r="C226" s="35"/>
      <c r="D226" s="34" t="s">
        <v>16141</v>
      </c>
      <c r="E226" s="34" t="s">
        <v>18563</v>
      </c>
      <c r="F226" s="34" t="s">
        <v>17343</v>
      </c>
      <c r="G226" s="34" t="s">
        <v>10034</v>
      </c>
      <c r="H226" s="34" t="s">
        <v>18564</v>
      </c>
      <c r="I226" s="35">
        <v>1</v>
      </c>
      <c r="J226" s="34" t="s">
        <v>18565</v>
      </c>
      <c r="K226" s="35"/>
      <c r="L226" s="34" t="s">
        <v>18068</v>
      </c>
      <c r="M226" s="35" t="s">
        <v>9</v>
      </c>
      <c r="N226" s="34" t="s">
        <v>14028</v>
      </c>
      <c r="O226" s="35" t="s">
        <v>164</v>
      </c>
      <c r="P226" s="35" t="s">
        <v>2206</v>
      </c>
    </row>
    <row r="227" spans="1:16" ht="409.6" x14ac:dyDescent="0.25">
      <c r="A227" s="35">
        <v>225</v>
      </c>
      <c r="B227" s="34" t="s">
        <v>18566</v>
      </c>
      <c r="C227" s="35"/>
      <c r="D227" s="34" t="s">
        <v>17714</v>
      </c>
      <c r="E227" s="34" t="s">
        <v>17715</v>
      </c>
      <c r="F227" s="34" t="s">
        <v>17716</v>
      </c>
      <c r="G227" s="34" t="s">
        <v>17717</v>
      </c>
      <c r="H227" s="34" t="s">
        <v>18567</v>
      </c>
      <c r="I227" s="35">
        <v>1</v>
      </c>
      <c r="J227" s="34" t="s">
        <v>18568</v>
      </c>
      <c r="K227" s="35"/>
      <c r="L227" s="34" t="s">
        <v>18068</v>
      </c>
      <c r="M227" s="35" t="s">
        <v>9</v>
      </c>
      <c r="N227" s="34" t="s">
        <v>18569</v>
      </c>
      <c r="O227" s="35" t="s">
        <v>164</v>
      </c>
      <c r="P227" s="35" t="s">
        <v>2271</v>
      </c>
    </row>
    <row r="228" spans="1:16" ht="409.6" x14ac:dyDescent="0.25">
      <c r="A228" s="35">
        <v>226</v>
      </c>
      <c r="B228" s="34" t="s">
        <v>18570</v>
      </c>
      <c r="C228" s="35" t="s">
        <v>18571</v>
      </c>
      <c r="D228" s="34" t="s">
        <v>18572</v>
      </c>
      <c r="E228" s="34" t="s">
        <v>18573</v>
      </c>
      <c r="F228" s="34" t="s">
        <v>18574</v>
      </c>
      <c r="G228" s="34" t="s">
        <v>18575</v>
      </c>
      <c r="H228" s="34" t="s">
        <v>18576</v>
      </c>
      <c r="I228" s="35">
        <v>1</v>
      </c>
      <c r="J228" s="34" t="s">
        <v>18577</v>
      </c>
      <c r="K228" s="35"/>
      <c r="L228" s="34" t="s">
        <v>18068</v>
      </c>
      <c r="M228" s="35" t="s">
        <v>9</v>
      </c>
      <c r="N228" s="34" t="s">
        <v>18578</v>
      </c>
      <c r="O228" s="35" t="s">
        <v>164</v>
      </c>
      <c r="P228" s="35" t="s">
        <v>2271</v>
      </c>
    </row>
    <row r="229" spans="1:16" ht="409.6" x14ac:dyDescent="0.25">
      <c r="A229" s="35">
        <v>227</v>
      </c>
      <c r="B229" s="34" t="s">
        <v>18579</v>
      </c>
      <c r="C229" s="35" t="s">
        <v>18580</v>
      </c>
      <c r="D229" s="34" t="s">
        <v>18105</v>
      </c>
      <c r="E229" s="34" t="s">
        <v>16255</v>
      </c>
      <c r="F229" s="34" t="s">
        <v>18581</v>
      </c>
      <c r="G229" s="34" t="s">
        <v>18582</v>
      </c>
      <c r="H229" s="34" t="s">
        <v>18583</v>
      </c>
      <c r="I229" s="35">
        <v>1</v>
      </c>
      <c r="J229" s="34" t="s">
        <v>18584</v>
      </c>
      <c r="K229" s="35"/>
      <c r="L229" s="34" t="s">
        <v>18068</v>
      </c>
      <c r="M229" s="35" t="s">
        <v>9</v>
      </c>
      <c r="N229" s="34" t="s">
        <v>18585</v>
      </c>
      <c r="O229" s="35" t="s">
        <v>164</v>
      </c>
      <c r="P229" s="35" t="s">
        <v>2271</v>
      </c>
    </row>
    <row r="230" spans="1:16" ht="409.6" x14ac:dyDescent="0.25">
      <c r="A230" s="35">
        <v>228</v>
      </c>
      <c r="B230" s="34" t="s">
        <v>18586</v>
      </c>
      <c r="C230" s="35"/>
      <c r="D230" s="34" t="s">
        <v>18587</v>
      </c>
      <c r="E230" s="34" t="s">
        <v>18588</v>
      </c>
      <c r="F230" s="34" t="s">
        <v>18589</v>
      </c>
      <c r="G230" s="34" t="s">
        <v>18590</v>
      </c>
      <c r="H230" s="34" t="s">
        <v>18591</v>
      </c>
      <c r="I230" s="35">
        <v>1</v>
      </c>
      <c r="J230" s="34" t="s">
        <v>18592</v>
      </c>
      <c r="K230" s="35"/>
      <c r="L230" s="34" t="s">
        <v>18068</v>
      </c>
      <c r="M230" s="35" t="s">
        <v>9</v>
      </c>
      <c r="N230" s="34" t="s">
        <v>18593</v>
      </c>
      <c r="O230" s="35" t="s">
        <v>164</v>
      </c>
      <c r="P230" s="35" t="s">
        <v>2271</v>
      </c>
    </row>
    <row r="231" spans="1:16" ht="409.6" x14ac:dyDescent="0.25">
      <c r="A231" s="35">
        <v>229</v>
      </c>
      <c r="B231" s="34" t="s">
        <v>18594</v>
      </c>
      <c r="C231" s="35"/>
      <c r="D231" s="34" t="s">
        <v>18595</v>
      </c>
      <c r="E231" s="34" t="s">
        <v>18596</v>
      </c>
      <c r="F231" s="34" t="s">
        <v>18597</v>
      </c>
      <c r="G231" s="34" t="s">
        <v>18598</v>
      </c>
      <c r="H231" s="34" t="s">
        <v>18599</v>
      </c>
      <c r="I231" s="35">
        <v>1</v>
      </c>
      <c r="J231" s="34" t="s">
        <v>18600</v>
      </c>
      <c r="K231" s="35"/>
      <c r="L231" s="34" t="s">
        <v>18068</v>
      </c>
      <c r="M231" s="35" t="s">
        <v>9</v>
      </c>
      <c r="N231" s="34" t="s">
        <v>18601</v>
      </c>
      <c r="O231" s="35" t="s">
        <v>164</v>
      </c>
      <c r="P231" s="35" t="s">
        <v>2271</v>
      </c>
    </row>
    <row r="232" spans="1:16" ht="409.6" x14ac:dyDescent="0.25">
      <c r="A232" s="35">
        <v>230</v>
      </c>
      <c r="B232" s="34" t="s">
        <v>18602</v>
      </c>
      <c r="C232" s="35"/>
      <c r="D232" s="34" t="s">
        <v>18603</v>
      </c>
      <c r="E232" s="34" t="s">
        <v>18604</v>
      </c>
      <c r="F232" s="34" t="s">
        <v>18605</v>
      </c>
      <c r="G232" s="34" t="s">
        <v>18606</v>
      </c>
      <c r="H232" s="34" t="s">
        <v>18607</v>
      </c>
      <c r="I232" s="35">
        <v>1</v>
      </c>
      <c r="J232" s="34" t="s">
        <v>18608</v>
      </c>
      <c r="K232" s="35"/>
      <c r="L232" s="34" t="s">
        <v>18068</v>
      </c>
      <c r="M232" s="35" t="s">
        <v>9</v>
      </c>
      <c r="N232" s="34" t="s">
        <v>18609</v>
      </c>
      <c r="O232" s="35" t="s">
        <v>164</v>
      </c>
      <c r="P232" s="35" t="s">
        <v>2271</v>
      </c>
    </row>
    <row r="233" spans="1:16" ht="409.6" x14ac:dyDescent="0.25">
      <c r="A233" s="35">
        <v>231</v>
      </c>
      <c r="B233" s="34" t="s">
        <v>18610</v>
      </c>
      <c r="C233" s="35"/>
      <c r="D233" s="34" t="s">
        <v>18611</v>
      </c>
      <c r="E233" s="34" t="s">
        <v>18612</v>
      </c>
      <c r="F233" s="34" t="s">
        <v>18525</v>
      </c>
      <c r="G233" s="34" t="s">
        <v>18527</v>
      </c>
      <c r="H233" s="34" t="s">
        <v>18528</v>
      </c>
      <c r="I233" s="35">
        <v>1</v>
      </c>
      <c r="J233" s="34" t="s">
        <v>18613</v>
      </c>
      <c r="K233" s="35"/>
      <c r="L233" s="34" t="s">
        <v>18068</v>
      </c>
      <c r="M233" s="35" t="s">
        <v>9</v>
      </c>
      <c r="N233" s="34" t="s">
        <v>18614</v>
      </c>
      <c r="O233" s="35" t="s">
        <v>164</v>
      </c>
      <c r="P233" s="35" t="s">
        <v>2271</v>
      </c>
    </row>
    <row r="234" spans="1:16" ht="409.6" x14ac:dyDescent="0.25">
      <c r="A234" s="35">
        <v>232</v>
      </c>
      <c r="B234" s="34" t="s">
        <v>18615</v>
      </c>
      <c r="C234" s="35"/>
      <c r="D234" s="34" t="s">
        <v>18616</v>
      </c>
      <c r="E234" s="34" t="s">
        <v>18617</v>
      </c>
      <c r="F234" s="34" t="s">
        <v>18618</v>
      </c>
      <c r="G234" s="34" t="s">
        <v>18619</v>
      </c>
      <c r="H234" s="34" t="s">
        <v>18620</v>
      </c>
      <c r="I234" s="35">
        <v>1</v>
      </c>
      <c r="J234" s="34" t="s">
        <v>18621</v>
      </c>
      <c r="K234" s="35"/>
      <c r="L234" s="34" t="s">
        <v>18068</v>
      </c>
      <c r="M234" s="35" t="s">
        <v>9</v>
      </c>
      <c r="N234" s="34" t="s">
        <v>18622</v>
      </c>
      <c r="O234" s="35" t="s">
        <v>164</v>
      </c>
      <c r="P234" s="35" t="s">
        <v>2271</v>
      </c>
    </row>
    <row r="235" spans="1:16" ht="409.6" x14ac:dyDescent="0.25">
      <c r="A235" s="35">
        <v>233</v>
      </c>
      <c r="B235" s="34" t="s">
        <v>18623</v>
      </c>
      <c r="C235" s="35"/>
      <c r="D235" s="34" t="s">
        <v>18624</v>
      </c>
      <c r="E235" s="34" t="s">
        <v>18625</v>
      </c>
      <c r="F235" s="34" t="s">
        <v>18626</v>
      </c>
      <c r="G235" s="34" t="s">
        <v>18627</v>
      </c>
      <c r="H235" s="34" t="s">
        <v>18628</v>
      </c>
      <c r="I235" s="35">
        <v>1</v>
      </c>
      <c r="J235" s="34" t="s">
        <v>18629</v>
      </c>
      <c r="K235" s="35"/>
      <c r="L235" s="34" t="s">
        <v>18068</v>
      </c>
      <c r="M235" s="35" t="s">
        <v>9</v>
      </c>
      <c r="N235" s="34" t="s">
        <v>18630</v>
      </c>
      <c r="O235" s="35" t="s">
        <v>164</v>
      </c>
      <c r="P235" s="35" t="s">
        <v>2271</v>
      </c>
    </row>
    <row r="236" spans="1:16" ht="409.6" x14ac:dyDescent="0.25">
      <c r="A236" s="35">
        <v>234</v>
      </c>
      <c r="B236" s="34" t="s">
        <v>18631</v>
      </c>
      <c r="C236" s="35"/>
      <c r="D236" s="34" t="s">
        <v>18632</v>
      </c>
      <c r="E236" s="34" t="s">
        <v>18633</v>
      </c>
      <c r="F236" s="34" t="s">
        <v>18634</v>
      </c>
      <c r="G236" s="34" t="s">
        <v>18635</v>
      </c>
      <c r="H236" s="34" t="s">
        <v>18636</v>
      </c>
      <c r="I236" s="35">
        <v>1</v>
      </c>
      <c r="J236" s="34" t="s">
        <v>18637</v>
      </c>
      <c r="K236" s="35"/>
      <c r="L236" s="34" t="s">
        <v>18068</v>
      </c>
      <c r="M236" s="35" t="s">
        <v>9</v>
      </c>
      <c r="N236" s="34" t="s">
        <v>18638</v>
      </c>
      <c r="O236" s="35" t="s">
        <v>164</v>
      </c>
      <c r="P236" s="35" t="s">
        <v>2271</v>
      </c>
    </row>
    <row r="237" spans="1:16" ht="409.6" x14ac:dyDescent="0.25">
      <c r="A237" s="35">
        <v>235</v>
      </c>
      <c r="B237" s="34" t="s">
        <v>18639</v>
      </c>
      <c r="C237" s="35"/>
      <c r="D237" s="34" t="s">
        <v>14895</v>
      </c>
      <c r="E237" s="34" t="s">
        <v>14896</v>
      </c>
      <c r="F237" s="34" t="s">
        <v>14897</v>
      </c>
      <c r="G237" s="34" t="s">
        <v>16881</v>
      </c>
      <c r="H237" s="34" t="s">
        <v>18640</v>
      </c>
      <c r="I237" s="35">
        <v>1</v>
      </c>
      <c r="J237" s="34" t="s">
        <v>18641</v>
      </c>
      <c r="K237" s="35"/>
      <c r="L237" s="34" t="s">
        <v>18068</v>
      </c>
      <c r="M237" s="35" t="s">
        <v>9</v>
      </c>
      <c r="N237" s="34" t="s">
        <v>18642</v>
      </c>
      <c r="O237" s="35" t="s">
        <v>164</v>
      </c>
      <c r="P237" s="35" t="s">
        <v>2271</v>
      </c>
    </row>
    <row r="238" spans="1:16" ht="409.6" x14ac:dyDescent="0.25">
      <c r="A238" s="35">
        <v>236</v>
      </c>
      <c r="B238" s="34" t="s">
        <v>18643</v>
      </c>
      <c r="C238" s="35"/>
      <c r="D238" s="34" t="s">
        <v>8706</v>
      </c>
      <c r="E238" s="34" t="s">
        <v>18644</v>
      </c>
      <c r="F238" s="34" t="s">
        <v>13913</v>
      </c>
      <c r="G238" s="34" t="s">
        <v>9825</v>
      </c>
      <c r="H238" s="34" t="s">
        <v>18645</v>
      </c>
      <c r="I238" s="35">
        <v>1</v>
      </c>
      <c r="J238" s="34" t="s">
        <v>18646</v>
      </c>
      <c r="K238" s="35"/>
      <c r="L238" s="34" t="s">
        <v>18068</v>
      </c>
      <c r="M238" s="35" t="s">
        <v>9</v>
      </c>
      <c r="N238" s="34" t="s">
        <v>18647</v>
      </c>
      <c r="O238" s="35" t="s">
        <v>164</v>
      </c>
      <c r="P238" s="35" t="s">
        <v>2271</v>
      </c>
    </row>
    <row r="239" spans="1:16" ht="409.6" x14ac:dyDescent="0.25">
      <c r="A239" s="35">
        <v>237</v>
      </c>
      <c r="B239" s="34" t="s">
        <v>18648</v>
      </c>
      <c r="C239" s="35"/>
      <c r="D239" s="34" t="s">
        <v>9824</v>
      </c>
      <c r="E239" s="34" t="s">
        <v>9825</v>
      </c>
      <c r="F239" s="34" t="s">
        <v>9826</v>
      </c>
      <c r="G239" s="34" t="s">
        <v>9827</v>
      </c>
      <c r="H239" s="34" t="s">
        <v>18649</v>
      </c>
      <c r="I239" s="35">
        <v>1</v>
      </c>
      <c r="J239" s="34" t="s">
        <v>18650</v>
      </c>
      <c r="K239" s="35"/>
      <c r="L239" s="34" t="s">
        <v>18068</v>
      </c>
      <c r="M239" s="35" t="s">
        <v>9</v>
      </c>
      <c r="N239" s="34" t="s">
        <v>18651</v>
      </c>
      <c r="O239" s="35" t="s">
        <v>164</v>
      </c>
      <c r="P239" s="35" t="s">
        <v>2436</v>
      </c>
    </row>
    <row r="240" spans="1:16" ht="409.6" x14ac:dyDescent="0.25">
      <c r="A240" s="35">
        <v>238</v>
      </c>
      <c r="B240" s="34" t="s">
        <v>18652</v>
      </c>
      <c r="C240" s="35"/>
      <c r="D240" s="34" t="s">
        <v>15739</v>
      </c>
      <c r="E240" s="34" t="s">
        <v>6028</v>
      </c>
      <c r="F240" s="34" t="s">
        <v>16917</v>
      </c>
      <c r="G240" s="34" t="s">
        <v>15741</v>
      </c>
      <c r="H240" s="34" t="s">
        <v>15625</v>
      </c>
      <c r="I240" s="35">
        <v>1</v>
      </c>
      <c r="J240" s="34" t="s">
        <v>18653</v>
      </c>
      <c r="K240" s="35"/>
      <c r="L240" s="34" t="s">
        <v>18068</v>
      </c>
      <c r="M240" s="35" t="s">
        <v>9</v>
      </c>
      <c r="N240" s="34" t="s">
        <v>18654</v>
      </c>
      <c r="O240" s="35" t="s">
        <v>164</v>
      </c>
      <c r="P240" s="35" t="s">
        <v>2436</v>
      </c>
    </row>
    <row r="241" spans="1:16" ht="409.6" x14ac:dyDescent="0.25">
      <c r="A241" s="35">
        <v>239</v>
      </c>
      <c r="B241" s="34" t="s">
        <v>18655</v>
      </c>
      <c r="C241" s="35"/>
      <c r="D241" s="34" t="s">
        <v>16917</v>
      </c>
      <c r="E241" s="34" t="s">
        <v>6028</v>
      </c>
      <c r="F241" s="34" t="s">
        <v>18656</v>
      </c>
      <c r="G241" s="34" t="s">
        <v>18657</v>
      </c>
      <c r="H241" s="34" t="s">
        <v>18658</v>
      </c>
      <c r="I241" s="35">
        <v>1</v>
      </c>
      <c r="J241" s="34" t="s">
        <v>18659</v>
      </c>
      <c r="K241" s="35"/>
      <c r="L241" s="34" t="s">
        <v>18068</v>
      </c>
      <c r="M241" s="35" t="s">
        <v>9</v>
      </c>
      <c r="N241" s="34" t="s">
        <v>18660</v>
      </c>
      <c r="O241" s="35" t="s">
        <v>164</v>
      </c>
      <c r="P241" s="35" t="s">
        <v>2514</v>
      </c>
    </row>
    <row r="242" spans="1:16" ht="409.6" x14ac:dyDescent="0.25">
      <c r="A242" s="35">
        <v>240</v>
      </c>
      <c r="B242" s="34" t="s">
        <v>18661</v>
      </c>
      <c r="C242" s="35"/>
      <c r="D242" s="34" t="s">
        <v>14894</v>
      </c>
      <c r="E242" s="34" t="s">
        <v>18662</v>
      </c>
      <c r="F242" s="34" t="s">
        <v>9827</v>
      </c>
      <c r="G242" s="34" t="s">
        <v>18663</v>
      </c>
      <c r="H242" s="34" t="s">
        <v>15737</v>
      </c>
      <c r="I242" s="35">
        <v>1</v>
      </c>
      <c r="J242" s="34" t="s">
        <v>18664</v>
      </c>
      <c r="K242" s="35"/>
      <c r="L242" s="34" t="s">
        <v>18068</v>
      </c>
      <c r="M242" s="35" t="s">
        <v>9</v>
      </c>
      <c r="N242" s="34" t="s">
        <v>18665</v>
      </c>
      <c r="O242" s="35" t="s">
        <v>164</v>
      </c>
      <c r="P242" s="35" t="s">
        <v>2514</v>
      </c>
    </row>
    <row r="243" spans="1:16" ht="409.6" x14ac:dyDescent="0.25">
      <c r="A243" s="35">
        <v>241</v>
      </c>
      <c r="B243" s="34" t="s">
        <v>18666</v>
      </c>
      <c r="C243" s="35"/>
      <c r="D243" s="34" t="s">
        <v>18667</v>
      </c>
      <c r="E243" s="34" t="s">
        <v>15738</v>
      </c>
      <c r="F243" s="34" t="s">
        <v>18668</v>
      </c>
      <c r="G243" s="34" t="s">
        <v>18669</v>
      </c>
      <c r="H243" s="34" t="s">
        <v>16315</v>
      </c>
      <c r="I243" s="35">
        <v>1</v>
      </c>
      <c r="J243" s="34" t="s">
        <v>18670</v>
      </c>
      <c r="K243" s="35"/>
      <c r="L243" s="34" t="s">
        <v>18068</v>
      </c>
      <c r="M243" s="35" t="s">
        <v>9</v>
      </c>
      <c r="N243" s="34" t="s">
        <v>18671</v>
      </c>
      <c r="O243" s="35" t="s">
        <v>164</v>
      </c>
      <c r="P243" s="35" t="s">
        <v>2514</v>
      </c>
    </row>
    <row r="244" spans="1:16" ht="409.6" x14ac:dyDescent="0.25">
      <c r="A244" s="35">
        <v>242</v>
      </c>
      <c r="B244" s="34" t="s">
        <v>18672</v>
      </c>
      <c r="C244" s="35"/>
      <c r="D244" s="34" t="s">
        <v>18673</v>
      </c>
      <c r="E244" s="34" t="s">
        <v>18674</v>
      </c>
      <c r="F244" s="34" t="s">
        <v>18675</v>
      </c>
      <c r="G244" s="34" t="s">
        <v>18676</v>
      </c>
      <c r="H244" s="34" t="s">
        <v>18677</v>
      </c>
      <c r="I244" s="35">
        <v>1</v>
      </c>
      <c r="J244" s="34" t="s">
        <v>18678</v>
      </c>
      <c r="K244" s="35"/>
      <c r="L244" s="34" t="s">
        <v>18068</v>
      </c>
      <c r="M244" s="35" t="s">
        <v>9</v>
      </c>
      <c r="N244" s="34" t="s">
        <v>18679</v>
      </c>
      <c r="O244" s="35" t="s">
        <v>164</v>
      </c>
      <c r="P244" s="35" t="s">
        <v>2514</v>
      </c>
    </row>
    <row r="245" spans="1:16" ht="409.6" x14ac:dyDescent="0.25">
      <c r="A245" s="35">
        <v>243</v>
      </c>
      <c r="B245" s="34" t="s">
        <v>18680</v>
      </c>
      <c r="C245" s="35"/>
      <c r="D245" s="34" t="s">
        <v>18681</v>
      </c>
      <c r="E245" s="34" t="s">
        <v>18682</v>
      </c>
      <c r="F245" s="34" t="s">
        <v>18683</v>
      </c>
      <c r="G245" s="34" t="s">
        <v>18684</v>
      </c>
      <c r="H245" s="34" t="s">
        <v>18685</v>
      </c>
      <c r="I245" s="35">
        <v>1</v>
      </c>
      <c r="J245" s="34" t="s">
        <v>18686</v>
      </c>
      <c r="K245" s="35"/>
      <c r="L245" s="34" t="s">
        <v>18068</v>
      </c>
      <c r="M245" s="35" t="s">
        <v>9</v>
      </c>
      <c r="N245" s="34" t="s">
        <v>18687</v>
      </c>
      <c r="O245" s="35" t="s">
        <v>164</v>
      </c>
      <c r="P245" s="35" t="s">
        <v>2514</v>
      </c>
    </row>
    <row r="246" spans="1:16" ht="13.2" x14ac:dyDescent="0.25">
      <c r="A246">
        <v>244</v>
      </c>
      <c r="B246" t="s">
        <v>18688</v>
      </c>
      <c r="D246" t="s">
        <v>18689</v>
      </c>
      <c r="E246" t="s">
        <v>18690</v>
      </c>
      <c r="F246" t="s">
        <v>18691</v>
      </c>
      <c r="G246" t="s">
        <v>18692</v>
      </c>
      <c r="H246" t="s">
        <v>18693</v>
      </c>
      <c r="I246" t="s">
        <v>113</v>
      </c>
      <c r="J246" t="s">
        <v>18694</v>
      </c>
      <c r="L246" t="s">
        <v>1645</v>
      </c>
      <c r="M246" t="s">
        <v>29</v>
      </c>
      <c r="N246" t="s">
        <v>3659</v>
      </c>
    </row>
    <row r="247" spans="1:16" ht="13.2" x14ac:dyDescent="0.25">
      <c r="A247">
        <v>245</v>
      </c>
      <c r="B247" t="s">
        <v>18695</v>
      </c>
      <c r="D247" t="s">
        <v>18696</v>
      </c>
      <c r="E247" t="s">
        <v>18697</v>
      </c>
      <c r="F247" t="s">
        <v>18698</v>
      </c>
      <c r="G247" t="s">
        <v>18699</v>
      </c>
      <c r="H247" t="s">
        <v>18700</v>
      </c>
      <c r="I247" t="s">
        <v>84</v>
      </c>
      <c r="J247" t="s">
        <v>18701</v>
      </c>
      <c r="L247" t="s">
        <v>1645</v>
      </c>
      <c r="M247" t="s">
        <v>29</v>
      </c>
      <c r="N247" t="s">
        <v>5202</v>
      </c>
    </row>
  </sheetData>
  <mergeCells count="1">
    <mergeCell ref="A1:F1"/>
  </mergeCell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P87"/>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6" ht="13.2" customHeight="1" x14ac:dyDescent="0.25">
      <c r="A3" s="8" t="s">
        <v>96</v>
      </c>
      <c r="B3" s="2" t="s">
        <v>18702</v>
      </c>
      <c r="C3" s="2"/>
      <c r="D3" s="2" t="s">
        <v>18703</v>
      </c>
      <c r="E3" s="2" t="s">
        <v>18704</v>
      </c>
      <c r="F3" s="2" t="s">
        <v>18705</v>
      </c>
      <c r="G3" s="2" t="s">
        <v>18706</v>
      </c>
      <c r="H3" s="2" t="s">
        <v>18707</v>
      </c>
      <c r="I3" s="8" t="s">
        <v>84</v>
      </c>
      <c r="J3" s="2" t="s">
        <v>18708</v>
      </c>
      <c r="K3" s="2"/>
      <c r="L3" s="2" t="s">
        <v>18709</v>
      </c>
      <c r="M3" s="2" t="s">
        <v>18703</v>
      </c>
      <c r="N3" s="2" t="s">
        <v>18710</v>
      </c>
      <c r="O3" s="2" t="s">
        <v>164</v>
      </c>
      <c r="P3" s="2" t="s">
        <v>2017</v>
      </c>
    </row>
    <row r="4" spans="1:16" ht="13.2" customHeight="1" x14ac:dyDescent="0.25">
      <c r="A4" s="8" t="s">
        <v>90</v>
      </c>
      <c r="B4" s="2" t="s">
        <v>18711</v>
      </c>
      <c r="C4" s="2"/>
      <c r="D4" s="2" t="s">
        <v>18703</v>
      </c>
      <c r="E4" s="2" t="s">
        <v>18712</v>
      </c>
      <c r="F4" s="2" t="s">
        <v>18713</v>
      </c>
      <c r="G4" s="2" t="s">
        <v>5245</v>
      </c>
      <c r="H4" s="2" t="s">
        <v>18714</v>
      </c>
      <c r="I4" s="8" t="s">
        <v>84</v>
      </c>
      <c r="J4" s="2" t="s">
        <v>18715</v>
      </c>
      <c r="K4" s="2"/>
      <c r="L4" s="2" t="s">
        <v>18709</v>
      </c>
      <c r="M4" s="2" t="s">
        <v>18703</v>
      </c>
      <c r="N4" s="2" t="s">
        <v>18716</v>
      </c>
      <c r="O4" s="2" t="s">
        <v>164</v>
      </c>
      <c r="P4" s="2" t="s">
        <v>2155</v>
      </c>
    </row>
    <row r="5" spans="1:16" ht="13.2" customHeight="1" x14ac:dyDescent="0.25">
      <c r="A5" s="8" t="s">
        <v>113</v>
      </c>
      <c r="B5" s="2" t="s">
        <v>18717</v>
      </c>
      <c r="C5" s="2"/>
      <c r="D5" s="2" t="s">
        <v>18703</v>
      </c>
      <c r="E5" s="2" t="s">
        <v>18718</v>
      </c>
      <c r="F5" s="2" t="s">
        <v>18719</v>
      </c>
      <c r="G5" s="2" t="s">
        <v>18720</v>
      </c>
      <c r="H5" s="2" t="s">
        <v>18721</v>
      </c>
      <c r="I5" s="8" t="s">
        <v>84</v>
      </c>
      <c r="J5" s="2" t="s">
        <v>18722</v>
      </c>
      <c r="K5" s="2"/>
      <c r="L5" s="2" t="s">
        <v>18723</v>
      </c>
      <c r="M5" s="2" t="s">
        <v>18703</v>
      </c>
      <c r="N5" s="2" t="s">
        <v>18724</v>
      </c>
      <c r="O5" s="2" t="s">
        <v>164</v>
      </c>
      <c r="P5" s="2" t="s">
        <v>2155</v>
      </c>
    </row>
    <row r="6" spans="1:16" ht="13.2" customHeight="1" x14ac:dyDescent="0.25">
      <c r="A6" s="2">
        <v>4</v>
      </c>
      <c r="B6" s="2" t="s">
        <v>18725</v>
      </c>
      <c r="C6" s="2"/>
      <c r="D6" s="2" t="s">
        <v>18726</v>
      </c>
      <c r="E6" s="2" t="s">
        <v>16543</v>
      </c>
      <c r="F6" s="2" t="s">
        <v>18727</v>
      </c>
      <c r="G6" s="2" t="s">
        <v>9825</v>
      </c>
      <c r="H6" s="2" t="s">
        <v>18728</v>
      </c>
      <c r="I6" s="2">
        <v>1</v>
      </c>
      <c r="J6" s="2" t="s">
        <v>18729</v>
      </c>
      <c r="K6" s="2"/>
      <c r="L6" s="2" t="s">
        <v>18709</v>
      </c>
      <c r="M6" s="2" t="s">
        <v>9</v>
      </c>
      <c r="N6" s="2" t="s">
        <v>18730</v>
      </c>
      <c r="O6" s="2" t="s">
        <v>164</v>
      </c>
      <c r="P6" s="2" t="s">
        <v>2206</v>
      </c>
    </row>
    <row r="7" spans="1:16" ht="13.2" customHeight="1" x14ac:dyDescent="0.25">
      <c r="A7" s="2">
        <v>5</v>
      </c>
      <c r="B7" s="2" t="s">
        <v>18731</v>
      </c>
      <c r="C7" s="2"/>
      <c r="D7" s="2" t="s">
        <v>18732</v>
      </c>
      <c r="E7" s="2" t="s">
        <v>18733</v>
      </c>
      <c r="F7" s="2" t="s">
        <v>18734</v>
      </c>
      <c r="G7" s="2" t="s">
        <v>18735</v>
      </c>
      <c r="H7" s="2" t="s">
        <v>18736</v>
      </c>
      <c r="I7" s="2">
        <v>1</v>
      </c>
      <c r="J7" s="2" t="s">
        <v>18737</v>
      </c>
      <c r="K7" s="2"/>
      <c r="L7" s="2" t="s">
        <v>18709</v>
      </c>
      <c r="M7" s="2" t="s">
        <v>9</v>
      </c>
      <c r="N7" s="2" t="s">
        <v>18738</v>
      </c>
      <c r="O7" s="2" t="s">
        <v>164</v>
      </c>
      <c r="P7" s="2" t="s">
        <v>2206</v>
      </c>
    </row>
    <row r="8" spans="1:16" ht="13.2" customHeight="1" x14ac:dyDescent="0.25">
      <c r="A8" s="2">
        <v>6</v>
      </c>
      <c r="B8" s="2" t="s">
        <v>18739</v>
      </c>
      <c r="C8" s="2"/>
      <c r="D8" s="2">
        <v>7.5</v>
      </c>
      <c r="E8" s="2">
        <v>75</v>
      </c>
      <c r="F8" s="2">
        <v>60</v>
      </c>
      <c r="G8" s="2">
        <v>52.5</v>
      </c>
      <c r="H8" s="2">
        <v>20</v>
      </c>
      <c r="I8" s="2">
        <v>1</v>
      </c>
      <c r="J8" s="2" t="s">
        <v>18740</v>
      </c>
      <c r="K8" s="2"/>
      <c r="L8" s="2" t="s">
        <v>18709</v>
      </c>
      <c r="M8" s="2" t="s">
        <v>9</v>
      </c>
      <c r="N8" s="2" t="s">
        <v>11861</v>
      </c>
      <c r="O8" s="2" t="s">
        <v>164</v>
      </c>
      <c r="P8" s="2" t="s">
        <v>2206</v>
      </c>
    </row>
    <row r="9" spans="1:16" ht="13.2" customHeight="1" x14ac:dyDescent="0.25">
      <c r="A9" s="2">
        <v>7</v>
      </c>
      <c r="B9" s="2" t="s">
        <v>18741</v>
      </c>
      <c r="C9" s="2"/>
      <c r="D9" s="2" t="s">
        <v>18742</v>
      </c>
      <c r="E9" s="2" t="s">
        <v>18743</v>
      </c>
      <c r="F9" s="2" t="s">
        <v>18744</v>
      </c>
      <c r="G9" s="2" t="s">
        <v>18745</v>
      </c>
      <c r="H9" s="2" t="s">
        <v>18746</v>
      </c>
      <c r="I9" s="2">
        <v>1</v>
      </c>
      <c r="J9" s="2" t="s">
        <v>18747</v>
      </c>
      <c r="K9" s="2"/>
      <c r="L9" s="2" t="s">
        <v>18709</v>
      </c>
      <c r="M9" s="2" t="s">
        <v>9</v>
      </c>
      <c r="N9" s="2" t="s">
        <v>18748</v>
      </c>
      <c r="O9" s="2" t="s">
        <v>164</v>
      </c>
      <c r="P9" s="2" t="s">
        <v>2271</v>
      </c>
    </row>
    <row r="10" spans="1:16" ht="13.2" customHeight="1" x14ac:dyDescent="0.25">
      <c r="A10" s="2">
        <v>8</v>
      </c>
      <c r="B10" s="2" t="s">
        <v>18749</v>
      </c>
      <c r="C10" s="2"/>
      <c r="D10" s="2" t="s">
        <v>18750</v>
      </c>
      <c r="E10" s="2" t="s">
        <v>18751</v>
      </c>
      <c r="F10" s="2" t="s">
        <v>18752</v>
      </c>
      <c r="G10" s="2" t="s">
        <v>18753</v>
      </c>
      <c r="H10" s="2" t="s">
        <v>18754</v>
      </c>
      <c r="I10" s="2">
        <v>1</v>
      </c>
      <c r="J10" s="2" t="s">
        <v>18755</v>
      </c>
      <c r="K10" s="2"/>
      <c r="L10" s="2" t="s">
        <v>18709</v>
      </c>
      <c r="M10" s="2" t="s">
        <v>9</v>
      </c>
      <c r="N10" s="2" t="s">
        <v>18756</v>
      </c>
      <c r="O10" s="2" t="s">
        <v>164</v>
      </c>
      <c r="P10" s="2" t="s">
        <v>2271</v>
      </c>
    </row>
    <row r="11" spans="1:16" ht="13.2" customHeight="1" x14ac:dyDescent="0.25">
      <c r="A11" s="2">
        <v>9</v>
      </c>
      <c r="B11" s="2" t="s">
        <v>18757</v>
      </c>
      <c r="C11" s="2"/>
      <c r="D11" s="2" t="s">
        <v>14921</v>
      </c>
      <c r="E11" s="2" t="s">
        <v>14922</v>
      </c>
      <c r="F11" s="2" t="s">
        <v>14923</v>
      </c>
      <c r="G11" s="2" t="s">
        <v>14924</v>
      </c>
      <c r="H11" s="2" t="s">
        <v>14925</v>
      </c>
      <c r="I11" s="2">
        <v>1</v>
      </c>
      <c r="J11" s="2" t="s">
        <v>18758</v>
      </c>
      <c r="K11" s="2"/>
      <c r="L11" s="2" t="s">
        <v>18709</v>
      </c>
      <c r="M11" s="2" t="s">
        <v>9</v>
      </c>
      <c r="N11" s="2" t="s">
        <v>18759</v>
      </c>
      <c r="O11" s="2" t="s">
        <v>164</v>
      </c>
      <c r="P11" s="2" t="s">
        <v>2271</v>
      </c>
    </row>
    <row r="12" spans="1:16" ht="13.2" customHeight="1" x14ac:dyDescent="0.25">
      <c r="A12" s="2">
        <v>10</v>
      </c>
      <c r="B12" s="2" t="s">
        <v>18760</v>
      </c>
      <c r="C12" s="2"/>
      <c r="D12" s="2" t="s">
        <v>18761</v>
      </c>
      <c r="E12" s="2" t="s">
        <v>18762</v>
      </c>
      <c r="F12" s="2" t="s">
        <v>18763</v>
      </c>
      <c r="G12" s="2" t="s">
        <v>15412</v>
      </c>
      <c r="H12" s="2" t="s">
        <v>18764</v>
      </c>
      <c r="I12" s="2">
        <v>1</v>
      </c>
      <c r="J12" s="2" t="s">
        <v>18765</v>
      </c>
      <c r="K12" s="2"/>
      <c r="L12" s="2" t="s">
        <v>18709</v>
      </c>
      <c r="M12" s="2" t="s">
        <v>9</v>
      </c>
      <c r="N12" s="2" t="s">
        <v>18766</v>
      </c>
      <c r="O12" s="2" t="s">
        <v>164</v>
      </c>
      <c r="P12" s="2" t="s">
        <v>2271</v>
      </c>
    </row>
    <row r="13" spans="1:16" ht="13.2" customHeight="1" x14ac:dyDescent="0.25">
      <c r="A13" s="2">
        <v>11</v>
      </c>
      <c r="B13" s="2" t="s">
        <v>18767</v>
      </c>
      <c r="C13" s="2"/>
      <c r="D13" s="2" t="s">
        <v>18768</v>
      </c>
      <c r="E13" s="2" t="s">
        <v>18769</v>
      </c>
      <c r="F13" s="2" t="s">
        <v>18770</v>
      </c>
      <c r="G13" s="2" t="s">
        <v>18771</v>
      </c>
      <c r="H13" s="2" t="s">
        <v>18772</v>
      </c>
      <c r="I13" s="2">
        <v>1</v>
      </c>
      <c r="J13" s="2" t="s">
        <v>18773</v>
      </c>
      <c r="K13" s="2"/>
      <c r="L13" s="2" t="s">
        <v>18709</v>
      </c>
      <c r="M13" s="2" t="s">
        <v>9</v>
      </c>
      <c r="N13" s="2" t="s">
        <v>2236</v>
      </c>
      <c r="O13" s="2" t="s">
        <v>164</v>
      </c>
      <c r="P13" s="2" t="s">
        <v>2317</v>
      </c>
    </row>
    <row r="14" spans="1:16" ht="13.2" customHeight="1" x14ac:dyDescent="0.25">
      <c r="A14" s="2">
        <v>12</v>
      </c>
      <c r="B14" s="2" t="s">
        <v>18774</v>
      </c>
      <c r="C14" s="2"/>
      <c r="D14" s="2" t="s">
        <v>18768</v>
      </c>
      <c r="E14" s="2" t="s">
        <v>18775</v>
      </c>
      <c r="F14" s="2" t="s">
        <v>18770</v>
      </c>
      <c r="G14" s="2" t="s">
        <v>18771</v>
      </c>
      <c r="H14" s="2" t="s">
        <v>18776</v>
      </c>
      <c r="I14" s="2">
        <v>1</v>
      </c>
      <c r="J14" s="2" t="s">
        <v>18777</v>
      </c>
      <c r="K14" s="2"/>
      <c r="L14" s="2" t="s">
        <v>18709</v>
      </c>
      <c r="M14" s="2" t="s">
        <v>9</v>
      </c>
      <c r="N14" s="2" t="s">
        <v>16744</v>
      </c>
      <c r="O14" s="2" t="s">
        <v>164</v>
      </c>
      <c r="P14" s="2" t="s">
        <v>2317</v>
      </c>
    </row>
    <row r="15" spans="1:16" ht="13.2" customHeight="1" x14ac:dyDescent="0.25">
      <c r="A15" s="2">
        <v>13</v>
      </c>
      <c r="B15" s="2" t="s">
        <v>18778</v>
      </c>
      <c r="C15" s="2"/>
      <c r="D15" s="2" t="s">
        <v>18779</v>
      </c>
      <c r="E15" s="2" t="s">
        <v>18780</v>
      </c>
      <c r="F15" s="2" t="s">
        <v>18781</v>
      </c>
      <c r="G15" s="2" t="s">
        <v>18782</v>
      </c>
      <c r="H15" s="2" t="s">
        <v>799</v>
      </c>
      <c r="I15" s="2">
        <v>1</v>
      </c>
      <c r="J15" s="2" t="s">
        <v>18783</v>
      </c>
      <c r="K15" s="2"/>
      <c r="L15" s="2" t="s">
        <v>18709</v>
      </c>
      <c r="M15" s="2" t="s">
        <v>9</v>
      </c>
      <c r="N15" s="2" t="s">
        <v>18784</v>
      </c>
      <c r="O15" s="2" t="s">
        <v>816</v>
      </c>
      <c r="P15" s="2" t="s">
        <v>2629</v>
      </c>
    </row>
    <row r="16" spans="1:16" ht="13.2" customHeight="1" x14ac:dyDescent="0.25">
      <c r="A16" s="2">
        <v>14</v>
      </c>
      <c r="B16" s="2" t="s">
        <v>18785</v>
      </c>
      <c r="C16" s="2"/>
      <c r="D16" s="2" t="s">
        <v>18720</v>
      </c>
      <c r="E16" s="2" t="s">
        <v>18721</v>
      </c>
      <c r="F16" s="2" t="s">
        <v>18704</v>
      </c>
      <c r="G16" s="2" t="s">
        <v>18705</v>
      </c>
      <c r="H16" s="2" t="s">
        <v>18706</v>
      </c>
      <c r="I16" s="2">
        <v>1</v>
      </c>
      <c r="J16" s="2" t="s">
        <v>18786</v>
      </c>
      <c r="K16" s="2"/>
      <c r="L16" s="2" t="s">
        <v>18709</v>
      </c>
      <c r="M16" s="2" t="s">
        <v>9</v>
      </c>
      <c r="N16" s="2" t="s">
        <v>16815</v>
      </c>
      <c r="O16" s="2" t="s">
        <v>164</v>
      </c>
      <c r="P16" s="2" t="s">
        <v>3561</v>
      </c>
    </row>
    <row r="17" spans="1:16" ht="13.2" customHeight="1" x14ac:dyDescent="0.25">
      <c r="A17" s="2">
        <v>15</v>
      </c>
      <c r="B17" s="2" t="s">
        <v>18787</v>
      </c>
      <c r="C17" s="2"/>
      <c r="D17" s="2" t="s">
        <v>18705</v>
      </c>
      <c r="E17" s="2" t="s">
        <v>18706</v>
      </c>
      <c r="F17" s="2" t="s">
        <v>18707</v>
      </c>
      <c r="G17" s="2" t="s">
        <v>18788</v>
      </c>
      <c r="H17" s="2" t="s">
        <v>18789</v>
      </c>
      <c r="I17" s="2">
        <v>1</v>
      </c>
      <c r="J17" s="2" t="s">
        <v>18790</v>
      </c>
      <c r="K17" s="2"/>
      <c r="L17" s="2" t="s">
        <v>18709</v>
      </c>
      <c r="M17" s="2" t="s">
        <v>9</v>
      </c>
      <c r="N17" s="2" t="s">
        <v>18791</v>
      </c>
      <c r="O17" s="2" t="s">
        <v>164</v>
      </c>
      <c r="P17" s="2" t="s">
        <v>3561</v>
      </c>
    </row>
    <row r="18" spans="1:16" ht="13.2" customHeight="1" x14ac:dyDescent="0.25">
      <c r="A18" s="2">
        <v>16</v>
      </c>
      <c r="B18" s="2" t="s">
        <v>18792</v>
      </c>
      <c r="C18" s="2"/>
      <c r="D18" s="2" t="s">
        <v>18788</v>
      </c>
      <c r="E18" s="2" t="s">
        <v>18789</v>
      </c>
      <c r="F18" s="2" t="s">
        <v>18793</v>
      </c>
      <c r="G18" s="2" t="s">
        <v>18719</v>
      </c>
      <c r="H18" s="2" t="s">
        <v>18720</v>
      </c>
      <c r="I18" s="2">
        <v>1</v>
      </c>
      <c r="J18" s="2" t="s">
        <v>18794</v>
      </c>
      <c r="K18" s="2"/>
      <c r="L18" s="2" t="s">
        <v>18795</v>
      </c>
      <c r="M18" s="2" t="s">
        <v>9</v>
      </c>
      <c r="N18" s="2" t="s">
        <v>10017</v>
      </c>
      <c r="O18" s="2" t="s">
        <v>164</v>
      </c>
      <c r="P18" s="2" t="s">
        <v>2705</v>
      </c>
    </row>
    <row r="19" spans="1:16" ht="13.2" customHeight="1" x14ac:dyDescent="0.25">
      <c r="A19" s="2">
        <v>17</v>
      </c>
      <c r="B19" s="2" t="s">
        <v>18796</v>
      </c>
      <c r="C19" s="2"/>
      <c r="D19" s="2" t="s">
        <v>18719</v>
      </c>
      <c r="E19" s="2" t="s">
        <v>18720</v>
      </c>
      <c r="F19" s="2" t="s">
        <v>18721</v>
      </c>
      <c r="G19" s="2" t="s">
        <v>18704</v>
      </c>
      <c r="H19" s="2" t="s">
        <v>18705</v>
      </c>
      <c r="I19" s="2">
        <v>1</v>
      </c>
      <c r="J19" s="2" t="s">
        <v>18797</v>
      </c>
      <c r="K19" s="2"/>
      <c r="L19" s="2" t="s">
        <v>18795</v>
      </c>
      <c r="M19" s="2" t="s">
        <v>9</v>
      </c>
      <c r="N19" s="2" t="s">
        <v>4992</v>
      </c>
      <c r="O19" s="2" t="s">
        <v>164</v>
      </c>
      <c r="P19" s="2" t="s">
        <v>2705</v>
      </c>
    </row>
    <row r="20" spans="1:16" ht="13.2" customHeight="1" x14ac:dyDescent="0.25">
      <c r="A20" s="2">
        <v>18</v>
      </c>
      <c r="B20" s="2" t="s">
        <v>18798</v>
      </c>
      <c r="C20" s="2"/>
      <c r="D20" s="2" t="s">
        <v>18704</v>
      </c>
      <c r="E20" s="2" t="s">
        <v>18705</v>
      </c>
      <c r="F20" s="2" t="s">
        <v>18706</v>
      </c>
      <c r="G20" s="2" t="s">
        <v>18707</v>
      </c>
      <c r="H20" s="2" t="s">
        <v>18788</v>
      </c>
      <c r="I20" s="2">
        <v>1</v>
      </c>
      <c r="J20" s="2" t="s">
        <v>18799</v>
      </c>
      <c r="K20" s="2"/>
      <c r="L20" s="2" t="s">
        <v>18795</v>
      </c>
      <c r="M20" s="2" t="s">
        <v>9</v>
      </c>
      <c r="N20" s="2" t="s">
        <v>12928</v>
      </c>
      <c r="O20" s="2" t="s">
        <v>164</v>
      </c>
      <c r="P20" s="2" t="s">
        <v>2705</v>
      </c>
    </row>
    <row r="21" spans="1:16" ht="13.2" customHeight="1" x14ac:dyDescent="0.25">
      <c r="A21" s="2">
        <v>19</v>
      </c>
      <c r="B21" s="2" t="s">
        <v>18800</v>
      </c>
      <c r="C21" s="2"/>
      <c r="D21" s="2" t="s">
        <v>18707</v>
      </c>
      <c r="E21" s="2" t="s">
        <v>18788</v>
      </c>
      <c r="F21" s="2" t="s">
        <v>18789</v>
      </c>
      <c r="G21" s="2" t="s">
        <v>18793</v>
      </c>
      <c r="H21" s="2" t="s">
        <v>18719</v>
      </c>
      <c r="I21" s="2">
        <v>1</v>
      </c>
      <c r="J21" s="2" t="s">
        <v>18801</v>
      </c>
      <c r="K21" s="2"/>
      <c r="L21" s="2" t="s">
        <v>18795</v>
      </c>
      <c r="M21" s="2" t="s">
        <v>9</v>
      </c>
      <c r="N21" s="2" t="s">
        <v>2483</v>
      </c>
      <c r="O21" s="2" t="s">
        <v>164</v>
      </c>
      <c r="P21" s="2" t="s">
        <v>2705</v>
      </c>
    </row>
    <row r="22" spans="1:16" ht="13.2" customHeight="1" x14ac:dyDescent="0.25">
      <c r="A22" s="2">
        <v>20</v>
      </c>
      <c r="B22" s="2" t="s">
        <v>18802</v>
      </c>
      <c r="C22" s="2"/>
      <c r="D22" s="2" t="s">
        <v>18793</v>
      </c>
      <c r="E22" s="2" t="s">
        <v>18719</v>
      </c>
      <c r="F22" s="2" t="s">
        <v>18720</v>
      </c>
      <c r="G22" s="2" t="s">
        <v>18721</v>
      </c>
      <c r="H22" s="2" t="s">
        <v>18704</v>
      </c>
      <c r="I22" s="2">
        <v>1</v>
      </c>
      <c r="J22" s="2" t="s">
        <v>18803</v>
      </c>
      <c r="K22" s="2"/>
      <c r="L22" s="2" t="s">
        <v>18709</v>
      </c>
      <c r="M22" s="2" t="s">
        <v>9</v>
      </c>
      <c r="N22" s="2" t="s">
        <v>6873</v>
      </c>
      <c r="O22" s="2" t="s">
        <v>164</v>
      </c>
      <c r="P22" s="2" t="s">
        <v>2706</v>
      </c>
    </row>
    <row r="23" spans="1:16" ht="13.2" customHeight="1" x14ac:dyDescent="0.25">
      <c r="A23" s="2">
        <v>21</v>
      </c>
      <c r="B23" s="2" t="s">
        <v>18804</v>
      </c>
      <c r="C23" s="2"/>
      <c r="D23" s="2" t="s">
        <v>3937</v>
      </c>
      <c r="E23" s="2" t="s">
        <v>18704</v>
      </c>
      <c r="F23" s="2" t="s">
        <v>18705</v>
      </c>
      <c r="G23" s="2" t="s">
        <v>18706</v>
      </c>
      <c r="H23" s="2" t="s">
        <v>18707</v>
      </c>
      <c r="I23" s="2">
        <v>1</v>
      </c>
      <c r="J23" s="2" t="s">
        <v>18805</v>
      </c>
      <c r="K23" s="2"/>
      <c r="L23" s="2" t="s">
        <v>18709</v>
      </c>
      <c r="M23" s="2" t="s">
        <v>9</v>
      </c>
      <c r="N23" s="2" t="s">
        <v>3603</v>
      </c>
      <c r="O23" s="2" t="s">
        <v>164</v>
      </c>
      <c r="P23" s="2" t="s">
        <v>2706</v>
      </c>
    </row>
    <row r="24" spans="1:16" ht="13.2" customHeight="1" x14ac:dyDescent="0.25">
      <c r="A24" s="2">
        <v>22</v>
      </c>
      <c r="B24" s="2" t="s">
        <v>18806</v>
      </c>
      <c r="C24" s="2"/>
      <c r="D24" s="2" t="s">
        <v>18706</v>
      </c>
      <c r="E24" s="2" t="s">
        <v>18707</v>
      </c>
      <c r="F24" s="2" t="s">
        <v>18788</v>
      </c>
      <c r="G24" s="2" t="s">
        <v>18789</v>
      </c>
      <c r="H24" s="2" t="s">
        <v>18793</v>
      </c>
      <c r="I24" s="2">
        <v>1</v>
      </c>
      <c r="J24" s="2" t="s">
        <v>18807</v>
      </c>
      <c r="K24" s="2"/>
      <c r="L24" s="2" t="s">
        <v>18709</v>
      </c>
      <c r="M24" s="2" t="s">
        <v>9</v>
      </c>
      <c r="N24" s="2" t="s">
        <v>6873</v>
      </c>
      <c r="O24" s="2" t="s">
        <v>164</v>
      </c>
      <c r="P24" s="2" t="s">
        <v>2706</v>
      </c>
    </row>
    <row r="25" spans="1:16" ht="13.2" customHeight="1" x14ac:dyDescent="0.25">
      <c r="A25" s="2">
        <v>23</v>
      </c>
      <c r="B25" s="2" t="s">
        <v>18808</v>
      </c>
      <c r="C25" s="2"/>
      <c r="D25" s="2" t="s">
        <v>17511</v>
      </c>
      <c r="E25" s="2" t="s">
        <v>18809</v>
      </c>
      <c r="F25" s="2" t="s">
        <v>18810</v>
      </c>
      <c r="G25" s="2" t="s">
        <v>18811</v>
      </c>
      <c r="H25" s="2" t="s">
        <v>18812</v>
      </c>
      <c r="I25" s="2">
        <v>1</v>
      </c>
      <c r="J25" s="2" t="s">
        <v>18813</v>
      </c>
      <c r="K25" s="2"/>
      <c r="L25" s="2" t="s">
        <v>18709</v>
      </c>
      <c r="M25" s="2" t="s">
        <v>9</v>
      </c>
      <c r="N25" s="2" t="s">
        <v>18814</v>
      </c>
      <c r="O25" s="2" t="s">
        <v>164</v>
      </c>
      <c r="P25" s="2" t="s">
        <v>2707</v>
      </c>
    </row>
    <row r="26" spans="1:16" ht="13.2" customHeight="1" x14ac:dyDescent="0.25">
      <c r="A26" s="2">
        <v>24</v>
      </c>
      <c r="B26" s="2" t="s">
        <v>18815</v>
      </c>
      <c r="C26" s="2"/>
      <c r="D26" s="2" t="s">
        <v>18720</v>
      </c>
      <c r="E26" s="2" t="s">
        <v>18721</v>
      </c>
      <c r="F26" s="2" t="s">
        <v>18704</v>
      </c>
      <c r="G26" s="2" t="s">
        <v>18705</v>
      </c>
      <c r="H26" s="2" t="s">
        <v>18706</v>
      </c>
      <c r="I26" s="2">
        <v>1</v>
      </c>
      <c r="J26" s="2" t="s">
        <v>18786</v>
      </c>
      <c r="K26" s="2"/>
      <c r="L26" s="2" t="s">
        <v>18709</v>
      </c>
      <c r="M26" s="2" t="s">
        <v>9</v>
      </c>
      <c r="N26" s="2" t="s">
        <v>3642</v>
      </c>
      <c r="O26" s="2" t="s">
        <v>164</v>
      </c>
      <c r="P26" s="2" t="s">
        <v>2707</v>
      </c>
    </row>
    <row r="27" spans="1:16" ht="13.2" customHeight="1" x14ac:dyDescent="0.25">
      <c r="A27" s="2">
        <v>25</v>
      </c>
      <c r="B27" s="2" t="s">
        <v>18816</v>
      </c>
      <c r="C27" s="2"/>
      <c r="D27" s="2" t="s">
        <v>18705</v>
      </c>
      <c r="E27" s="2" t="s">
        <v>18706</v>
      </c>
      <c r="F27" s="2" t="s">
        <v>18707</v>
      </c>
      <c r="G27" s="2" t="s">
        <v>18788</v>
      </c>
      <c r="H27" s="2" t="s">
        <v>18789</v>
      </c>
      <c r="I27" s="2">
        <v>4</v>
      </c>
      <c r="J27" s="2" t="s">
        <v>18817</v>
      </c>
      <c r="K27" s="2"/>
      <c r="L27" s="2" t="s">
        <v>18709</v>
      </c>
      <c r="M27" s="2" t="s">
        <v>9</v>
      </c>
      <c r="N27" s="2" t="s">
        <v>2522</v>
      </c>
      <c r="O27" s="2" t="s">
        <v>164</v>
      </c>
      <c r="P27" s="2" t="s">
        <v>2707</v>
      </c>
    </row>
    <row r="28" spans="1:16" ht="13.2" customHeight="1" x14ac:dyDescent="0.25">
      <c r="A28" s="2">
        <v>26</v>
      </c>
      <c r="B28" s="2" t="s">
        <v>18818</v>
      </c>
      <c r="C28" s="2"/>
      <c r="D28" s="2" t="s">
        <v>18788</v>
      </c>
      <c r="E28" s="2" t="s">
        <v>18789</v>
      </c>
      <c r="F28" s="2" t="s">
        <v>18793</v>
      </c>
      <c r="G28" s="2" t="s">
        <v>18719</v>
      </c>
      <c r="H28" s="2" t="s">
        <v>18720</v>
      </c>
      <c r="I28" s="2">
        <v>1</v>
      </c>
      <c r="J28" s="2" t="s">
        <v>18819</v>
      </c>
      <c r="K28" s="2"/>
      <c r="L28" s="2" t="s">
        <v>18709</v>
      </c>
      <c r="M28" s="2" t="s">
        <v>9</v>
      </c>
      <c r="N28" s="2" t="s">
        <v>10449</v>
      </c>
      <c r="O28" s="2" t="s">
        <v>164</v>
      </c>
      <c r="P28" s="2" t="s">
        <v>2708</v>
      </c>
    </row>
    <row r="29" spans="1:16" ht="13.2" customHeight="1" x14ac:dyDescent="0.25">
      <c r="A29" s="2">
        <v>27</v>
      </c>
      <c r="B29" s="2" t="s">
        <v>18820</v>
      </c>
      <c r="C29" s="2"/>
      <c r="D29" s="2" t="s">
        <v>18719</v>
      </c>
      <c r="E29" s="2" t="s">
        <v>18720</v>
      </c>
      <c r="F29" s="2" t="s">
        <v>18721</v>
      </c>
      <c r="G29" s="2" t="s">
        <v>18704</v>
      </c>
      <c r="H29" s="2" t="s">
        <v>18705</v>
      </c>
      <c r="I29" s="2">
        <v>1</v>
      </c>
      <c r="J29" s="2" t="s">
        <v>18821</v>
      </c>
      <c r="K29" s="2"/>
      <c r="L29" s="2" t="s">
        <v>18709</v>
      </c>
      <c r="M29" s="2" t="s">
        <v>9</v>
      </c>
      <c r="N29" s="2" t="s">
        <v>3689</v>
      </c>
      <c r="O29" s="2" t="s">
        <v>164</v>
      </c>
      <c r="P29" s="2" t="s">
        <v>2709</v>
      </c>
    </row>
    <row r="30" spans="1:16" ht="13.2" customHeight="1" x14ac:dyDescent="0.25">
      <c r="A30" s="2">
        <v>28</v>
      </c>
      <c r="B30" s="2" t="s">
        <v>18822</v>
      </c>
      <c r="C30" s="2"/>
      <c r="D30" s="2" t="s">
        <v>18704</v>
      </c>
      <c r="E30" s="2" t="s">
        <v>18705</v>
      </c>
      <c r="F30" s="2" t="s">
        <v>18706</v>
      </c>
      <c r="G30" s="2" t="s">
        <v>18707</v>
      </c>
      <c r="H30" s="2" t="s">
        <v>18788</v>
      </c>
      <c r="I30" s="2">
        <v>1</v>
      </c>
      <c r="J30" s="2" t="s">
        <v>18823</v>
      </c>
      <c r="K30" s="2"/>
      <c r="L30" s="2" t="s">
        <v>18723</v>
      </c>
      <c r="M30" s="2" t="s">
        <v>9</v>
      </c>
      <c r="N30" s="2" t="s">
        <v>3699</v>
      </c>
      <c r="O30" s="2" t="s">
        <v>164</v>
      </c>
      <c r="P30" s="2" t="s">
        <v>2709</v>
      </c>
    </row>
    <row r="31" spans="1:16" ht="13.2" customHeight="1" x14ac:dyDescent="0.25">
      <c r="A31" s="2">
        <v>29</v>
      </c>
      <c r="B31" s="2" t="s">
        <v>18824</v>
      </c>
      <c r="C31" s="2"/>
      <c r="D31" s="2" t="s">
        <v>18707</v>
      </c>
      <c r="E31" s="2" t="s">
        <v>18788</v>
      </c>
      <c r="F31" s="2" t="s">
        <v>18789</v>
      </c>
      <c r="G31" s="2" t="s">
        <v>18793</v>
      </c>
      <c r="H31" s="2" t="s">
        <v>18719</v>
      </c>
      <c r="I31" s="2">
        <v>2</v>
      </c>
      <c r="J31" s="2" t="s">
        <v>18825</v>
      </c>
      <c r="K31" s="2"/>
      <c r="L31" s="2" t="s">
        <v>18795</v>
      </c>
      <c r="M31" s="2" t="s">
        <v>9</v>
      </c>
      <c r="N31" s="2" t="s">
        <v>16896</v>
      </c>
      <c r="O31" s="2" t="s">
        <v>816</v>
      </c>
      <c r="P31" s="2" t="s">
        <v>2710</v>
      </c>
    </row>
    <row r="32" spans="1:16" ht="13.2" customHeight="1" x14ac:dyDescent="0.25">
      <c r="A32" s="2">
        <v>30</v>
      </c>
      <c r="B32" s="2" t="s">
        <v>18826</v>
      </c>
      <c r="C32" s="2"/>
      <c r="D32" s="2" t="s">
        <v>18793</v>
      </c>
      <c r="E32" s="2" t="s">
        <v>18719</v>
      </c>
      <c r="F32" s="2" t="s">
        <v>18720</v>
      </c>
      <c r="G32" s="2" t="s">
        <v>18721</v>
      </c>
      <c r="H32" s="2" t="s">
        <v>18704</v>
      </c>
      <c r="I32" s="2">
        <v>1</v>
      </c>
      <c r="J32" s="2" t="s">
        <v>18827</v>
      </c>
      <c r="K32" s="2"/>
      <c r="L32" s="2" t="s">
        <v>18723</v>
      </c>
      <c r="M32" s="2" t="s">
        <v>9</v>
      </c>
      <c r="N32" s="2" t="s">
        <v>3733</v>
      </c>
      <c r="O32" s="2" t="s">
        <v>816</v>
      </c>
      <c r="P32" s="2" t="s">
        <v>2710</v>
      </c>
    </row>
    <row r="33" spans="1:16" ht="13.2" customHeight="1" x14ac:dyDescent="0.25">
      <c r="A33" s="2">
        <v>31</v>
      </c>
      <c r="B33" s="2" t="s">
        <v>18828</v>
      </c>
      <c r="C33" s="2"/>
      <c r="D33" s="2" t="s">
        <v>18721</v>
      </c>
      <c r="E33" s="2" t="s">
        <v>18704</v>
      </c>
      <c r="F33" s="2" t="s">
        <v>18705</v>
      </c>
      <c r="G33" s="2" t="s">
        <v>18706</v>
      </c>
      <c r="H33" s="2" t="s">
        <v>18707</v>
      </c>
      <c r="I33" s="2">
        <v>1</v>
      </c>
      <c r="J33" s="2" t="s">
        <v>18829</v>
      </c>
      <c r="K33" s="2"/>
      <c r="L33" s="2" t="s">
        <v>18709</v>
      </c>
      <c r="M33" s="2" t="s">
        <v>9</v>
      </c>
      <c r="N33" s="2" t="s">
        <v>2655</v>
      </c>
      <c r="O33" s="2" t="s">
        <v>816</v>
      </c>
      <c r="P33" s="2" t="s">
        <v>2711</v>
      </c>
    </row>
    <row r="34" spans="1:16" ht="13.2" customHeight="1" x14ac:dyDescent="0.25">
      <c r="A34" s="2">
        <v>32</v>
      </c>
      <c r="B34" s="2" t="s">
        <v>18830</v>
      </c>
      <c r="C34" s="2"/>
      <c r="D34" s="2" t="s">
        <v>18706</v>
      </c>
      <c r="E34" s="2" t="s">
        <v>18707</v>
      </c>
      <c r="F34" s="2" t="s">
        <v>18788</v>
      </c>
      <c r="G34" s="2" t="s">
        <v>18789</v>
      </c>
      <c r="H34" s="2" t="s">
        <v>18793</v>
      </c>
      <c r="I34" s="2">
        <v>1</v>
      </c>
      <c r="J34" s="2" t="s">
        <v>18831</v>
      </c>
      <c r="K34" s="2"/>
      <c r="L34" s="2" t="s">
        <v>18795</v>
      </c>
      <c r="M34" s="2" t="s">
        <v>9</v>
      </c>
      <c r="N34" s="2" t="s">
        <v>3900</v>
      </c>
      <c r="O34" s="2" t="s">
        <v>816</v>
      </c>
      <c r="P34" s="2" t="s">
        <v>2711</v>
      </c>
    </row>
    <row r="35" spans="1:16" ht="13.2" customHeight="1" x14ac:dyDescent="0.25">
      <c r="A35" s="2">
        <v>33</v>
      </c>
      <c r="B35" s="2" t="s">
        <v>18832</v>
      </c>
      <c r="C35" s="2"/>
      <c r="D35" s="2" t="s">
        <v>18789</v>
      </c>
      <c r="E35" s="2" t="s">
        <v>18793</v>
      </c>
      <c r="F35" s="2" t="s">
        <v>18719</v>
      </c>
      <c r="G35" s="2" t="s">
        <v>18720</v>
      </c>
      <c r="H35" s="2" t="s">
        <v>18721</v>
      </c>
      <c r="I35" s="2">
        <v>1</v>
      </c>
      <c r="J35" s="2" t="s">
        <v>18833</v>
      </c>
      <c r="K35" s="2"/>
      <c r="L35" s="2" t="s">
        <v>18709</v>
      </c>
      <c r="M35" s="2" t="s">
        <v>9</v>
      </c>
      <c r="N35" s="2" t="s">
        <v>2655</v>
      </c>
      <c r="O35" s="2" t="s">
        <v>816</v>
      </c>
      <c r="P35" s="2" t="s">
        <v>2711</v>
      </c>
    </row>
    <row r="36" spans="1:16" ht="13.2" customHeight="1" x14ac:dyDescent="0.25">
      <c r="A36" s="2">
        <v>34</v>
      </c>
      <c r="B36" s="2" t="s">
        <v>18834</v>
      </c>
      <c r="C36" s="2"/>
      <c r="D36" s="2" t="s">
        <v>18720</v>
      </c>
      <c r="E36" s="2" t="s">
        <v>18721</v>
      </c>
      <c r="F36" s="2" t="s">
        <v>18704</v>
      </c>
      <c r="G36" s="2" t="s">
        <v>18705</v>
      </c>
      <c r="H36" s="2" t="s">
        <v>18706</v>
      </c>
      <c r="I36" s="2">
        <v>1</v>
      </c>
      <c r="J36" s="2" t="s">
        <v>18786</v>
      </c>
      <c r="K36" s="2"/>
      <c r="L36" s="2" t="s">
        <v>18709</v>
      </c>
      <c r="M36" s="2" t="s">
        <v>9</v>
      </c>
      <c r="N36" s="2" t="s">
        <v>3900</v>
      </c>
      <c r="O36" s="2" t="s">
        <v>816</v>
      </c>
      <c r="P36" s="2" t="s">
        <v>2711</v>
      </c>
    </row>
    <row r="37" spans="1:16" ht="13.2" customHeight="1" x14ac:dyDescent="0.25">
      <c r="A37" s="2">
        <v>35</v>
      </c>
      <c r="B37" s="2" t="s">
        <v>18835</v>
      </c>
      <c r="C37" s="2"/>
      <c r="D37" s="2" t="s">
        <v>18705</v>
      </c>
      <c r="E37" s="2" t="s">
        <v>18706</v>
      </c>
      <c r="F37" s="2" t="s">
        <v>18707</v>
      </c>
      <c r="G37" s="2" t="s">
        <v>18788</v>
      </c>
      <c r="H37" s="2" t="s">
        <v>18789</v>
      </c>
      <c r="I37" s="2">
        <v>1</v>
      </c>
      <c r="J37" s="2" t="s">
        <v>18836</v>
      </c>
      <c r="K37" s="2"/>
      <c r="L37" s="2" t="s">
        <v>18709</v>
      </c>
      <c r="M37" s="2" t="s">
        <v>9</v>
      </c>
      <c r="N37" s="2" t="s">
        <v>6230</v>
      </c>
      <c r="O37" s="2" t="s">
        <v>816</v>
      </c>
      <c r="P37" s="2" t="s">
        <v>2711</v>
      </c>
    </row>
    <row r="38" spans="1:16" ht="13.2" customHeight="1" x14ac:dyDescent="0.25">
      <c r="A38" s="2">
        <v>36</v>
      </c>
      <c r="B38" s="2" t="s">
        <v>18837</v>
      </c>
      <c r="C38" s="2"/>
      <c r="D38" s="2" t="s">
        <v>16141</v>
      </c>
      <c r="E38" s="2" t="s">
        <v>3299</v>
      </c>
      <c r="F38" s="2" t="s">
        <v>17386</v>
      </c>
      <c r="G38" s="2" t="s">
        <v>16142</v>
      </c>
      <c r="H38" s="2" t="s">
        <v>18838</v>
      </c>
      <c r="I38" s="2">
        <v>2</v>
      </c>
      <c r="J38" s="2" t="s">
        <v>18839</v>
      </c>
      <c r="K38" s="2"/>
      <c r="L38" s="2" t="s">
        <v>18709</v>
      </c>
      <c r="M38" s="2" t="s">
        <v>9</v>
      </c>
      <c r="N38" s="2" t="s">
        <v>14385</v>
      </c>
      <c r="O38" s="2" t="s">
        <v>816</v>
      </c>
      <c r="P38" s="2" t="s">
        <v>2711</v>
      </c>
    </row>
    <row r="39" spans="1:16" ht="13.2" customHeight="1" x14ac:dyDescent="0.25">
      <c r="A39" s="2">
        <v>37</v>
      </c>
      <c r="B39" s="2" t="s">
        <v>18840</v>
      </c>
      <c r="C39" s="2"/>
      <c r="D39" s="2" t="s">
        <v>18719</v>
      </c>
      <c r="E39" s="2" t="s">
        <v>18720</v>
      </c>
      <c r="F39" s="2" t="s">
        <v>18721</v>
      </c>
      <c r="G39" s="2" t="s">
        <v>18704</v>
      </c>
      <c r="H39" s="2" t="s">
        <v>18705</v>
      </c>
      <c r="I39" s="2">
        <v>1</v>
      </c>
      <c r="J39" s="2" t="s">
        <v>18821</v>
      </c>
      <c r="K39" s="2"/>
      <c r="L39" s="2" t="s">
        <v>18709</v>
      </c>
      <c r="M39" s="2" t="s">
        <v>9</v>
      </c>
      <c r="N39" s="2" t="s">
        <v>3887</v>
      </c>
      <c r="O39" s="2" t="s">
        <v>816</v>
      </c>
      <c r="P39" s="2" t="s">
        <v>2711</v>
      </c>
    </row>
    <row r="40" spans="1:16" ht="13.2" customHeight="1" x14ac:dyDescent="0.25">
      <c r="A40" s="2">
        <v>38</v>
      </c>
      <c r="B40" s="2" t="s">
        <v>18841</v>
      </c>
      <c r="C40" s="2"/>
      <c r="D40" s="2" t="s">
        <v>18704</v>
      </c>
      <c r="E40" s="2" t="s">
        <v>18705</v>
      </c>
      <c r="F40" s="2" t="s">
        <v>18706</v>
      </c>
      <c r="G40" s="2" t="s">
        <v>18707</v>
      </c>
      <c r="H40" s="2" t="s">
        <v>18788</v>
      </c>
      <c r="I40" s="2">
        <v>1</v>
      </c>
      <c r="J40" s="2" t="s">
        <v>18842</v>
      </c>
      <c r="K40" s="2"/>
      <c r="L40" s="2" t="s">
        <v>18723</v>
      </c>
      <c r="M40" s="2" t="s">
        <v>9</v>
      </c>
      <c r="N40" s="2" t="s">
        <v>3900</v>
      </c>
      <c r="O40" s="2" t="s">
        <v>816</v>
      </c>
      <c r="P40" s="2" t="s">
        <v>2711</v>
      </c>
    </row>
    <row r="41" spans="1:16" ht="13.2" customHeight="1" x14ac:dyDescent="0.25">
      <c r="A41" s="2">
        <v>39</v>
      </c>
      <c r="B41" s="2" t="s">
        <v>18843</v>
      </c>
      <c r="C41" s="2"/>
      <c r="D41" s="2" t="s">
        <v>18707</v>
      </c>
      <c r="E41" s="2" t="s">
        <v>18788</v>
      </c>
      <c r="F41" s="2" t="s">
        <v>18789</v>
      </c>
      <c r="G41" s="2" t="s">
        <v>18793</v>
      </c>
      <c r="H41" s="2" t="s">
        <v>18719</v>
      </c>
      <c r="I41" s="2">
        <v>1</v>
      </c>
      <c r="J41" s="2" t="s">
        <v>18844</v>
      </c>
      <c r="K41" s="2"/>
      <c r="L41" s="2" t="s">
        <v>18709</v>
      </c>
      <c r="M41" s="2" t="s">
        <v>9</v>
      </c>
      <c r="N41" s="2" t="s">
        <v>3936</v>
      </c>
      <c r="O41" s="2" t="s">
        <v>816</v>
      </c>
      <c r="P41" s="2" t="s">
        <v>2711</v>
      </c>
    </row>
    <row r="42" spans="1:16" ht="13.2" customHeight="1" x14ac:dyDescent="0.25">
      <c r="A42" s="2">
        <v>40</v>
      </c>
      <c r="B42" s="2" t="s">
        <v>18845</v>
      </c>
      <c r="C42" s="2"/>
      <c r="D42" s="2" t="s">
        <v>18793</v>
      </c>
      <c r="E42" s="2" t="s">
        <v>18719</v>
      </c>
      <c r="F42" s="2" t="s">
        <v>18720</v>
      </c>
      <c r="G42" s="2" t="s">
        <v>18721</v>
      </c>
      <c r="H42" s="2" t="s">
        <v>18704</v>
      </c>
      <c r="I42" s="2">
        <v>1</v>
      </c>
      <c r="J42" s="2" t="s">
        <v>18803</v>
      </c>
      <c r="K42" s="2"/>
      <c r="L42" s="2" t="s">
        <v>18709</v>
      </c>
      <c r="M42" s="2" t="s">
        <v>9</v>
      </c>
      <c r="N42" s="2" t="s">
        <v>3900</v>
      </c>
      <c r="O42" s="2" t="s">
        <v>816</v>
      </c>
      <c r="P42" s="2" t="s">
        <v>2711</v>
      </c>
    </row>
    <row r="43" spans="1:16" ht="13.2" customHeight="1" x14ac:dyDescent="0.25">
      <c r="A43" s="2">
        <v>41</v>
      </c>
      <c r="B43" s="2" t="s">
        <v>18846</v>
      </c>
      <c r="C43" s="2"/>
      <c r="D43" s="2" t="s">
        <v>18768</v>
      </c>
      <c r="E43" s="2" t="s">
        <v>18775</v>
      </c>
      <c r="F43" s="2" t="s">
        <v>18847</v>
      </c>
      <c r="G43" s="2" t="s">
        <v>18771</v>
      </c>
      <c r="H43" s="2" t="s">
        <v>18848</v>
      </c>
      <c r="I43" s="2">
        <v>2</v>
      </c>
      <c r="J43" s="2" t="s">
        <v>18849</v>
      </c>
      <c r="K43" s="2"/>
      <c r="L43" s="2" t="s">
        <v>18709</v>
      </c>
      <c r="M43" s="2" t="s">
        <v>9</v>
      </c>
      <c r="N43" s="2" t="s">
        <v>6225</v>
      </c>
      <c r="O43" s="2" t="s">
        <v>816</v>
      </c>
      <c r="P43" s="2" t="s">
        <v>2711</v>
      </c>
    </row>
    <row r="44" spans="1:16" ht="409.6" x14ac:dyDescent="0.25">
      <c r="A44" s="35">
        <v>42</v>
      </c>
      <c r="B44" s="34" t="s">
        <v>18850</v>
      </c>
      <c r="C44" s="35"/>
      <c r="D44" s="34" t="s">
        <v>9809</v>
      </c>
      <c r="E44" s="34" t="s">
        <v>17245</v>
      </c>
      <c r="F44" s="34" t="s">
        <v>16582</v>
      </c>
      <c r="G44" s="34" t="s">
        <v>16488</v>
      </c>
      <c r="H44" s="34" t="s">
        <v>9781</v>
      </c>
      <c r="I44" s="35">
        <v>1</v>
      </c>
      <c r="J44" s="34" t="s">
        <v>18851</v>
      </c>
      <c r="K44" s="35"/>
      <c r="L44" s="34" t="s">
        <v>18703</v>
      </c>
      <c r="M44" s="35" t="s">
        <v>9</v>
      </c>
      <c r="N44" s="34" t="s">
        <v>18852</v>
      </c>
      <c r="O44" s="35" t="s">
        <v>164</v>
      </c>
      <c r="P44" s="35" t="s">
        <v>1865</v>
      </c>
    </row>
    <row r="45" spans="1:16" ht="409.6" x14ac:dyDescent="0.25">
      <c r="A45" s="35">
        <v>43</v>
      </c>
      <c r="B45" s="34" t="s">
        <v>18853</v>
      </c>
      <c r="C45" s="35"/>
      <c r="D45" s="34" t="s">
        <v>16365</v>
      </c>
      <c r="E45" s="34" t="s">
        <v>9780</v>
      </c>
      <c r="F45" s="34" t="s">
        <v>18854</v>
      </c>
      <c r="G45" s="34" t="s">
        <v>3181</v>
      </c>
      <c r="H45" s="34" t="s">
        <v>18855</v>
      </c>
      <c r="I45" s="35">
        <v>1</v>
      </c>
      <c r="J45" s="34" t="s">
        <v>18856</v>
      </c>
      <c r="K45" s="35"/>
      <c r="L45" s="34" t="s">
        <v>18703</v>
      </c>
      <c r="M45" s="35" t="s">
        <v>9</v>
      </c>
      <c r="N45" s="34" t="s">
        <v>18857</v>
      </c>
      <c r="O45" s="35" t="s">
        <v>164</v>
      </c>
      <c r="P45" s="35" t="s">
        <v>1865</v>
      </c>
    </row>
    <row r="46" spans="1:16" ht="409.6" x14ac:dyDescent="0.25">
      <c r="A46" s="35">
        <v>44</v>
      </c>
      <c r="B46" s="34" t="s">
        <v>18858</v>
      </c>
      <c r="C46" s="35"/>
      <c r="D46" s="34" t="s">
        <v>2211</v>
      </c>
      <c r="E46" s="34"/>
      <c r="F46" s="34"/>
      <c r="G46" s="34" t="s">
        <v>18859</v>
      </c>
      <c r="H46" s="34"/>
      <c r="I46" s="35">
        <v>2</v>
      </c>
      <c r="J46" s="34" t="s">
        <v>18860</v>
      </c>
      <c r="K46" s="35"/>
      <c r="L46" s="34" t="s">
        <v>18703</v>
      </c>
      <c r="M46" s="35" t="s">
        <v>9</v>
      </c>
      <c r="N46" s="34" t="s">
        <v>18861</v>
      </c>
      <c r="O46" s="35" t="s">
        <v>164</v>
      </c>
      <c r="P46" s="35" t="s">
        <v>2017</v>
      </c>
    </row>
    <row r="47" spans="1:16" ht="409.6" x14ac:dyDescent="0.25">
      <c r="A47" s="35">
        <v>45</v>
      </c>
      <c r="B47" s="34" t="s">
        <v>18862</v>
      </c>
      <c r="C47" s="35"/>
      <c r="D47" s="34" t="s">
        <v>18855</v>
      </c>
      <c r="E47" s="34" t="s">
        <v>18863</v>
      </c>
      <c r="F47" s="34" t="s">
        <v>18864</v>
      </c>
      <c r="G47" s="34" t="s">
        <v>18865</v>
      </c>
      <c r="H47" s="34"/>
      <c r="I47" s="35">
        <v>1</v>
      </c>
      <c r="J47" s="34" t="s">
        <v>18866</v>
      </c>
      <c r="K47" s="35"/>
      <c r="L47" s="34" t="s">
        <v>18703</v>
      </c>
      <c r="M47" s="35" t="s">
        <v>9</v>
      </c>
      <c r="N47" s="34" t="s">
        <v>18867</v>
      </c>
      <c r="O47" s="35" t="s">
        <v>164</v>
      </c>
      <c r="P47" s="35" t="s">
        <v>2017</v>
      </c>
    </row>
    <row r="48" spans="1:16" ht="409.6" x14ac:dyDescent="0.25">
      <c r="A48" s="35">
        <v>46</v>
      </c>
      <c r="B48" s="34" t="s">
        <v>18868</v>
      </c>
      <c r="C48" s="35"/>
      <c r="D48" s="34" t="s">
        <v>18869</v>
      </c>
      <c r="E48" s="34" t="s">
        <v>18870</v>
      </c>
      <c r="F48" s="34" t="s">
        <v>18871</v>
      </c>
      <c r="G48" s="34" t="s">
        <v>14788</v>
      </c>
      <c r="H48" s="34"/>
      <c r="I48" s="35">
        <v>1</v>
      </c>
      <c r="J48" s="34" t="s">
        <v>18872</v>
      </c>
      <c r="K48" s="35"/>
      <c r="L48" s="34" t="s">
        <v>18703</v>
      </c>
      <c r="M48" s="35" t="s">
        <v>9</v>
      </c>
      <c r="N48" s="34" t="s">
        <v>18873</v>
      </c>
      <c r="O48" s="35" t="s">
        <v>164</v>
      </c>
      <c r="P48" s="35" t="s">
        <v>2017</v>
      </c>
    </row>
    <row r="49" spans="1:16" ht="409.6" x14ac:dyDescent="0.25">
      <c r="A49" s="35">
        <v>47</v>
      </c>
      <c r="B49" s="34" t="s">
        <v>18874</v>
      </c>
      <c r="C49" s="35"/>
      <c r="D49" s="34" t="s">
        <v>9780</v>
      </c>
      <c r="E49" s="34" t="s">
        <v>9781</v>
      </c>
      <c r="F49" s="34" t="s">
        <v>9782</v>
      </c>
      <c r="G49" s="34" t="s">
        <v>9783</v>
      </c>
      <c r="H49" s="34" t="s">
        <v>18875</v>
      </c>
      <c r="I49" s="35">
        <v>1</v>
      </c>
      <c r="J49" s="34" t="s">
        <v>18876</v>
      </c>
      <c r="K49" s="35"/>
      <c r="L49" s="34" t="s">
        <v>18703</v>
      </c>
      <c r="M49" s="35" t="s">
        <v>9</v>
      </c>
      <c r="N49" s="34" t="s">
        <v>18877</v>
      </c>
      <c r="O49" s="35" t="s">
        <v>164</v>
      </c>
      <c r="P49" s="35" t="s">
        <v>2109</v>
      </c>
    </row>
    <row r="50" spans="1:16" ht="409.6" x14ac:dyDescent="0.25">
      <c r="A50" s="35">
        <v>48</v>
      </c>
      <c r="B50" s="34" t="s">
        <v>18878</v>
      </c>
      <c r="C50" s="35"/>
      <c r="D50" s="34" t="s">
        <v>18855</v>
      </c>
      <c r="E50" s="34" t="s">
        <v>18879</v>
      </c>
      <c r="F50" s="34" t="s">
        <v>18880</v>
      </c>
      <c r="G50" s="34" t="s">
        <v>18881</v>
      </c>
      <c r="H50" s="34"/>
      <c r="I50" s="35">
        <v>1</v>
      </c>
      <c r="J50" s="34" t="s">
        <v>18882</v>
      </c>
      <c r="K50" s="35"/>
      <c r="L50" s="34" t="s">
        <v>18703</v>
      </c>
      <c r="M50" s="35" t="s">
        <v>9</v>
      </c>
      <c r="N50" s="34" t="s">
        <v>18883</v>
      </c>
      <c r="O50" s="35" t="s">
        <v>164</v>
      </c>
      <c r="P50" s="35" t="s">
        <v>2109</v>
      </c>
    </row>
    <row r="51" spans="1:16" ht="409.6" x14ac:dyDescent="0.25">
      <c r="A51" s="35">
        <v>49</v>
      </c>
      <c r="B51" s="34" t="s">
        <v>18884</v>
      </c>
      <c r="C51" s="35"/>
      <c r="D51" s="34" t="s">
        <v>18885</v>
      </c>
      <c r="E51" s="34" t="s">
        <v>18886</v>
      </c>
      <c r="F51" s="34" t="s">
        <v>18887</v>
      </c>
      <c r="G51" s="34" t="s">
        <v>15252</v>
      </c>
      <c r="H51" s="34" t="s">
        <v>15252</v>
      </c>
      <c r="I51" s="35">
        <v>1</v>
      </c>
      <c r="J51" s="34" t="s">
        <v>18888</v>
      </c>
      <c r="K51" s="35"/>
      <c r="L51" s="34" t="s">
        <v>18703</v>
      </c>
      <c r="M51" s="35" t="s">
        <v>9</v>
      </c>
      <c r="N51" s="34" t="s">
        <v>18889</v>
      </c>
      <c r="O51" s="35" t="s">
        <v>164</v>
      </c>
      <c r="P51" s="35" t="s">
        <v>2109</v>
      </c>
    </row>
    <row r="52" spans="1:16" ht="409.6" x14ac:dyDescent="0.25">
      <c r="A52" s="35">
        <v>50</v>
      </c>
      <c r="B52" s="34" t="s">
        <v>18890</v>
      </c>
      <c r="C52" s="35"/>
      <c r="D52" s="34" t="s">
        <v>18891</v>
      </c>
      <c r="E52" s="34" t="s">
        <v>18892</v>
      </c>
      <c r="F52" s="34" t="s">
        <v>18893</v>
      </c>
      <c r="G52" s="34" t="s">
        <v>18894</v>
      </c>
      <c r="H52" s="34" t="s">
        <v>18895</v>
      </c>
      <c r="I52" s="35">
        <v>1</v>
      </c>
      <c r="J52" s="34" t="s">
        <v>18896</v>
      </c>
      <c r="K52" s="35"/>
      <c r="L52" s="34" t="s">
        <v>18703</v>
      </c>
      <c r="M52" s="35" t="s">
        <v>9</v>
      </c>
      <c r="N52" s="34" t="s">
        <v>18897</v>
      </c>
      <c r="O52" s="35" t="s">
        <v>164</v>
      </c>
      <c r="P52" s="35" t="s">
        <v>2109</v>
      </c>
    </row>
    <row r="53" spans="1:16" ht="409.6" x14ac:dyDescent="0.25">
      <c r="A53" s="35">
        <v>51</v>
      </c>
      <c r="B53" s="34" t="s">
        <v>18898</v>
      </c>
      <c r="C53" s="35"/>
      <c r="D53" s="34" t="s">
        <v>18899</v>
      </c>
      <c r="E53" s="34" t="s">
        <v>18900</v>
      </c>
      <c r="F53" s="34" t="s">
        <v>18901</v>
      </c>
      <c r="G53" s="34" t="s">
        <v>18902</v>
      </c>
      <c r="H53" s="34" t="s">
        <v>18903</v>
      </c>
      <c r="I53" s="35">
        <v>1</v>
      </c>
      <c r="J53" s="34" t="s">
        <v>18904</v>
      </c>
      <c r="K53" s="35"/>
      <c r="L53" s="34" t="s">
        <v>18703</v>
      </c>
      <c r="M53" s="35" t="s">
        <v>9</v>
      </c>
      <c r="N53" s="34" t="s">
        <v>18905</v>
      </c>
      <c r="O53" s="35" t="s">
        <v>164</v>
      </c>
      <c r="P53" s="35" t="s">
        <v>2155</v>
      </c>
    </row>
    <row r="54" spans="1:16" ht="409.6" x14ac:dyDescent="0.25">
      <c r="A54" s="35">
        <v>52</v>
      </c>
      <c r="B54" s="34" t="s">
        <v>18906</v>
      </c>
      <c r="C54" s="35"/>
      <c r="D54" s="34" t="s">
        <v>18907</v>
      </c>
      <c r="E54" s="34" t="s">
        <v>18908</v>
      </c>
      <c r="F54" s="34" t="s">
        <v>18909</v>
      </c>
      <c r="G54" s="34" t="s">
        <v>18910</v>
      </c>
      <c r="H54" s="34" t="s">
        <v>18911</v>
      </c>
      <c r="I54" s="35">
        <v>1</v>
      </c>
      <c r="J54" s="34" t="s">
        <v>18912</v>
      </c>
      <c r="K54" s="35"/>
      <c r="L54" s="34" t="s">
        <v>18703</v>
      </c>
      <c r="M54" s="35" t="s">
        <v>9</v>
      </c>
      <c r="N54" s="34" t="s">
        <v>18913</v>
      </c>
      <c r="O54" s="35" t="s">
        <v>164</v>
      </c>
      <c r="P54" s="35" t="s">
        <v>2155</v>
      </c>
    </row>
    <row r="55" spans="1:16" ht="409.6" x14ac:dyDescent="0.25">
      <c r="A55" s="35">
        <v>53</v>
      </c>
      <c r="B55" s="34" t="s">
        <v>18914</v>
      </c>
      <c r="C55" s="35" t="s">
        <v>18915</v>
      </c>
      <c r="D55" s="34" t="s">
        <v>18916</v>
      </c>
      <c r="E55" s="34" t="s">
        <v>18917</v>
      </c>
      <c r="F55" s="34" t="s">
        <v>18918</v>
      </c>
      <c r="G55" s="34" t="s">
        <v>18919</v>
      </c>
      <c r="H55" s="34" t="s">
        <v>18920</v>
      </c>
      <c r="I55" s="35">
        <v>1</v>
      </c>
      <c r="J55" s="34" t="s">
        <v>18921</v>
      </c>
      <c r="K55" s="35"/>
      <c r="L55" s="34" t="s">
        <v>18703</v>
      </c>
      <c r="M55" s="35" t="s">
        <v>9</v>
      </c>
      <c r="N55" s="34" t="s">
        <v>18922</v>
      </c>
      <c r="O55" s="35" t="s">
        <v>164</v>
      </c>
      <c r="P55" s="35" t="s">
        <v>2155</v>
      </c>
    </row>
    <row r="56" spans="1:16" ht="409.6" x14ac:dyDescent="0.25">
      <c r="A56" s="35">
        <v>54</v>
      </c>
      <c r="B56" s="34" t="s">
        <v>18923</v>
      </c>
      <c r="C56" s="35"/>
      <c r="D56" s="34" t="s">
        <v>9780</v>
      </c>
      <c r="E56" s="34" t="s">
        <v>18879</v>
      </c>
      <c r="F56" s="34" t="s">
        <v>18924</v>
      </c>
      <c r="G56" s="34" t="s">
        <v>18925</v>
      </c>
      <c r="H56" s="34"/>
      <c r="I56" s="35">
        <v>1</v>
      </c>
      <c r="J56" s="34" t="s">
        <v>18926</v>
      </c>
      <c r="K56" s="35"/>
      <c r="L56" s="34" t="s">
        <v>18703</v>
      </c>
      <c r="M56" s="35" t="s">
        <v>9</v>
      </c>
      <c r="N56" s="34" t="s">
        <v>18927</v>
      </c>
      <c r="O56" s="35" t="s">
        <v>164</v>
      </c>
      <c r="P56" s="35" t="s">
        <v>2155</v>
      </c>
    </row>
    <row r="57" spans="1:16" ht="409.6" x14ac:dyDescent="0.25">
      <c r="A57" s="35">
        <v>55</v>
      </c>
      <c r="B57" s="34" t="s">
        <v>18928</v>
      </c>
      <c r="C57" s="35"/>
      <c r="D57" s="34" t="s">
        <v>1454</v>
      </c>
      <c r="E57" s="34" t="s">
        <v>15559</v>
      </c>
      <c r="F57" s="34" t="s">
        <v>15560</v>
      </c>
      <c r="G57" s="34" t="s">
        <v>18929</v>
      </c>
      <c r="H57" s="34" t="s">
        <v>18930</v>
      </c>
      <c r="I57" s="35">
        <v>1</v>
      </c>
      <c r="J57" s="34" t="s">
        <v>18931</v>
      </c>
      <c r="K57" s="35"/>
      <c r="L57" s="34" t="s">
        <v>18703</v>
      </c>
      <c r="M57" s="35" t="s">
        <v>9</v>
      </c>
      <c r="N57" s="34" t="s">
        <v>18932</v>
      </c>
      <c r="O57" s="35" t="s">
        <v>164</v>
      </c>
      <c r="P57" s="35" t="s">
        <v>2155</v>
      </c>
    </row>
    <row r="58" spans="1:16" ht="409.6" x14ac:dyDescent="0.25">
      <c r="A58" s="35">
        <v>56</v>
      </c>
      <c r="B58" s="34" t="s">
        <v>18933</v>
      </c>
      <c r="C58" s="35"/>
      <c r="D58" s="34" t="s">
        <v>14208</v>
      </c>
      <c r="E58" s="34" t="s">
        <v>18763</v>
      </c>
      <c r="F58" s="34" t="s">
        <v>15412</v>
      </c>
      <c r="G58" s="34" t="s">
        <v>18762</v>
      </c>
      <c r="H58" s="34" t="s">
        <v>18934</v>
      </c>
      <c r="I58" s="35">
        <v>1</v>
      </c>
      <c r="J58" s="34" t="s">
        <v>18935</v>
      </c>
      <c r="K58" s="35"/>
      <c r="L58" s="34" t="s">
        <v>18703</v>
      </c>
      <c r="M58" s="35" t="s">
        <v>9</v>
      </c>
      <c r="N58" s="34" t="s">
        <v>18936</v>
      </c>
      <c r="O58" s="35" t="s">
        <v>164</v>
      </c>
      <c r="P58" s="35" t="s">
        <v>2155</v>
      </c>
    </row>
    <row r="59" spans="1:16" ht="409.6" x14ac:dyDescent="0.25">
      <c r="A59" s="35">
        <v>57</v>
      </c>
      <c r="B59" s="34" t="s">
        <v>17322</v>
      </c>
      <c r="C59" s="35"/>
      <c r="D59" s="34" t="s">
        <v>18937</v>
      </c>
      <c r="E59" s="34" t="s">
        <v>18938</v>
      </c>
      <c r="F59" s="34" t="s">
        <v>18939</v>
      </c>
      <c r="G59" s="34" t="s">
        <v>18940</v>
      </c>
      <c r="H59" s="34" t="s">
        <v>18941</v>
      </c>
      <c r="I59" s="35">
        <v>1</v>
      </c>
      <c r="J59" s="34" t="s">
        <v>18942</v>
      </c>
      <c r="K59" s="35"/>
      <c r="L59" s="34" t="s">
        <v>18703</v>
      </c>
      <c r="M59" s="35" t="s">
        <v>9</v>
      </c>
      <c r="N59" s="34" t="s">
        <v>18943</v>
      </c>
      <c r="O59" s="35" t="s">
        <v>164</v>
      </c>
      <c r="P59" s="35" t="s">
        <v>2155</v>
      </c>
    </row>
    <row r="60" spans="1:16" ht="409.6" x14ac:dyDescent="0.25">
      <c r="A60" s="35">
        <v>58</v>
      </c>
      <c r="B60" s="34" t="s">
        <v>18944</v>
      </c>
      <c r="C60" s="35"/>
      <c r="D60" s="34" t="s">
        <v>18457</v>
      </c>
      <c r="E60" s="34" t="s">
        <v>16141</v>
      </c>
      <c r="F60" s="34" t="s">
        <v>18945</v>
      </c>
      <c r="G60" s="34" t="s">
        <v>18946</v>
      </c>
      <c r="H60" s="34" t="s">
        <v>18947</v>
      </c>
      <c r="I60" s="35">
        <v>1</v>
      </c>
      <c r="J60" s="34" t="s">
        <v>18948</v>
      </c>
      <c r="K60" s="35"/>
      <c r="L60" s="34" t="s">
        <v>18703</v>
      </c>
      <c r="M60" s="35" t="s">
        <v>9</v>
      </c>
      <c r="N60" s="34" t="s">
        <v>18949</v>
      </c>
      <c r="O60" s="35" t="s">
        <v>164</v>
      </c>
      <c r="P60" s="35" t="s">
        <v>2155</v>
      </c>
    </row>
    <row r="61" spans="1:16" ht="409.6" x14ac:dyDescent="0.25">
      <c r="A61" s="35">
        <v>59</v>
      </c>
      <c r="B61" s="34" t="s">
        <v>18950</v>
      </c>
      <c r="C61" s="35"/>
      <c r="D61" s="34" t="s">
        <v>18951</v>
      </c>
      <c r="E61" s="34" t="s">
        <v>18952</v>
      </c>
      <c r="F61" s="34" t="s">
        <v>18953</v>
      </c>
      <c r="G61" s="34" t="s">
        <v>18954</v>
      </c>
      <c r="H61" s="34" t="s">
        <v>18955</v>
      </c>
      <c r="I61" s="35">
        <v>1</v>
      </c>
      <c r="J61" s="34" t="s">
        <v>18956</v>
      </c>
      <c r="K61" s="35"/>
      <c r="L61" s="34" t="s">
        <v>18703</v>
      </c>
      <c r="M61" s="35" t="s">
        <v>9</v>
      </c>
      <c r="N61" s="34" t="s">
        <v>18957</v>
      </c>
      <c r="O61" s="35" t="s">
        <v>164</v>
      </c>
      <c r="P61" s="35" t="s">
        <v>2155</v>
      </c>
    </row>
    <row r="62" spans="1:16" ht="409.6" x14ac:dyDescent="0.25">
      <c r="A62" s="35">
        <v>60</v>
      </c>
      <c r="B62" s="34" t="s">
        <v>18958</v>
      </c>
      <c r="C62" s="35"/>
      <c r="D62" s="34" t="s">
        <v>1454</v>
      </c>
      <c r="E62" s="34" t="s">
        <v>15559</v>
      </c>
      <c r="F62" s="34" t="s">
        <v>15560</v>
      </c>
      <c r="G62" s="34" t="s">
        <v>18929</v>
      </c>
      <c r="H62" s="34" t="s">
        <v>18959</v>
      </c>
      <c r="I62" s="35">
        <v>5</v>
      </c>
      <c r="J62" s="34" t="s">
        <v>18960</v>
      </c>
      <c r="K62" s="35"/>
      <c r="L62" s="34" t="s">
        <v>18703</v>
      </c>
      <c r="M62" s="35" t="s">
        <v>9</v>
      </c>
      <c r="N62" s="34" t="s">
        <v>18961</v>
      </c>
      <c r="O62" s="35" t="s">
        <v>164</v>
      </c>
      <c r="P62" s="35" t="s">
        <v>3354</v>
      </c>
    </row>
    <row r="63" spans="1:16" ht="409.6" x14ac:dyDescent="0.25">
      <c r="A63" s="35">
        <v>61</v>
      </c>
      <c r="B63" s="34" t="s">
        <v>18962</v>
      </c>
      <c r="C63" s="35"/>
      <c r="D63" s="34" t="s">
        <v>18963</v>
      </c>
      <c r="E63" s="34" t="s">
        <v>9809</v>
      </c>
      <c r="F63" s="34" t="s">
        <v>9781</v>
      </c>
      <c r="G63" s="34" t="s">
        <v>15013</v>
      </c>
      <c r="H63" s="34" t="s">
        <v>18964</v>
      </c>
      <c r="I63" s="35">
        <v>1</v>
      </c>
      <c r="J63" s="34" t="s">
        <v>18965</v>
      </c>
      <c r="K63" s="35"/>
      <c r="L63" s="34" t="s">
        <v>18703</v>
      </c>
      <c r="M63" s="35" t="s">
        <v>9</v>
      </c>
      <c r="N63" s="34" t="s">
        <v>18966</v>
      </c>
      <c r="O63" s="35" t="s">
        <v>164</v>
      </c>
      <c r="P63" s="35" t="s">
        <v>3354</v>
      </c>
    </row>
    <row r="64" spans="1:16" ht="409.6" x14ac:dyDescent="0.25">
      <c r="A64" s="35">
        <v>62</v>
      </c>
      <c r="B64" s="34" t="s">
        <v>18967</v>
      </c>
      <c r="C64" s="35"/>
      <c r="D64" s="34" t="s">
        <v>18968</v>
      </c>
      <c r="E64" s="34" t="s">
        <v>18969</v>
      </c>
      <c r="F64" s="34" t="s">
        <v>18970</v>
      </c>
      <c r="G64" s="34" t="s">
        <v>18971</v>
      </c>
      <c r="H64" s="34" t="s">
        <v>18972</v>
      </c>
      <c r="I64" s="35">
        <v>5</v>
      </c>
      <c r="J64" s="34" t="s">
        <v>18973</v>
      </c>
      <c r="K64" s="35"/>
      <c r="L64" s="34" t="s">
        <v>18703</v>
      </c>
      <c r="M64" s="35" t="s">
        <v>9</v>
      </c>
      <c r="N64" s="34" t="s">
        <v>18974</v>
      </c>
      <c r="O64" s="35" t="s">
        <v>164</v>
      </c>
      <c r="P64" s="35" t="s">
        <v>3354</v>
      </c>
    </row>
    <row r="65" spans="1:16" ht="409.6" x14ac:dyDescent="0.25">
      <c r="A65" s="35">
        <v>63</v>
      </c>
      <c r="B65" s="34" t="s">
        <v>18975</v>
      </c>
      <c r="C65" s="35"/>
      <c r="D65" s="34" t="s">
        <v>16590</v>
      </c>
      <c r="E65" s="34" t="s">
        <v>18976</v>
      </c>
      <c r="F65" s="34" t="s">
        <v>18977</v>
      </c>
      <c r="G65" s="34" t="s">
        <v>16405</v>
      </c>
      <c r="H65" s="34" t="s">
        <v>18978</v>
      </c>
      <c r="I65" s="35">
        <v>1</v>
      </c>
      <c r="J65" s="34" t="s">
        <v>18979</v>
      </c>
      <c r="K65" s="35"/>
      <c r="L65" s="34" t="s">
        <v>18703</v>
      </c>
      <c r="M65" s="35" t="s">
        <v>9</v>
      </c>
      <c r="N65" s="34" t="s">
        <v>18980</v>
      </c>
      <c r="O65" s="35" t="s">
        <v>164</v>
      </c>
      <c r="P65" s="35" t="s">
        <v>3354</v>
      </c>
    </row>
    <row r="66" spans="1:16" ht="409.6" x14ac:dyDescent="0.25">
      <c r="A66" s="35">
        <v>64</v>
      </c>
      <c r="B66" s="34" t="s">
        <v>18981</v>
      </c>
      <c r="C66" s="35"/>
      <c r="D66" s="34" t="s">
        <v>18963</v>
      </c>
      <c r="E66" s="34" t="s">
        <v>9809</v>
      </c>
      <c r="F66" s="34" t="s">
        <v>9781</v>
      </c>
      <c r="G66" s="34" t="s">
        <v>18982</v>
      </c>
      <c r="H66" s="34" t="s">
        <v>18983</v>
      </c>
      <c r="I66" s="35">
        <v>1</v>
      </c>
      <c r="J66" s="34" t="s">
        <v>18984</v>
      </c>
      <c r="K66" s="35"/>
      <c r="L66" s="34" t="s">
        <v>18703</v>
      </c>
      <c r="M66" s="35" t="s">
        <v>9</v>
      </c>
      <c r="N66" s="34" t="s">
        <v>18985</v>
      </c>
      <c r="O66" s="35" t="s">
        <v>164</v>
      </c>
      <c r="P66" s="35" t="s">
        <v>3354</v>
      </c>
    </row>
    <row r="67" spans="1:16" ht="409.6" x14ac:dyDescent="0.25">
      <c r="A67" s="35">
        <v>65</v>
      </c>
      <c r="B67" s="34" t="s">
        <v>18986</v>
      </c>
      <c r="C67" s="35"/>
      <c r="D67" s="34" t="s">
        <v>18987</v>
      </c>
      <c r="E67" s="34" t="s">
        <v>18988</v>
      </c>
      <c r="F67" s="34" t="s">
        <v>17271</v>
      </c>
      <c r="G67" s="34" t="s">
        <v>16215</v>
      </c>
      <c r="H67" s="34" t="s">
        <v>18989</v>
      </c>
      <c r="I67" s="35">
        <v>1</v>
      </c>
      <c r="J67" s="34" t="s">
        <v>18990</v>
      </c>
      <c r="K67" s="35"/>
      <c r="L67" s="34" t="s">
        <v>18703</v>
      </c>
      <c r="M67" s="35" t="s">
        <v>9</v>
      </c>
      <c r="N67" s="34" t="s">
        <v>17290</v>
      </c>
      <c r="O67" s="35" t="s">
        <v>164</v>
      </c>
      <c r="P67" s="35" t="s">
        <v>2206</v>
      </c>
    </row>
    <row r="68" spans="1:16" ht="409.6" x14ac:dyDescent="0.25">
      <c r="A68" s="35">
        <v>66</v>
      </c>
      <c r="B68" s="34" t="s">
        <v>18991</v>
      </c>
      <c r="C68" s="35"/>
      <c r="D68" s="34" t="s">
        <v>18726</v>
      </c>
      <c r="E68" s="34" t="s">
        <v>16543</v>
      </c>
      <c r="F68" s="34" t="s">
        <v>10037</v>
      </c>
      <c r="G68" s="34" t="s">
        <v>9825</v>
      </c>
      <c r="H68" s="34" t="s">
        <v>18992</v>
      </c>
      <c r="I68" s="35">
        <v>1</v>
      </c>
      <c r="J68" s="34" t="s">
        <v>18993</v>
      </c>
      <c r="K68" s="35"/>
      <c r="L68" s="34" t="s">
        <v>18703</v>
      </c>
      <c r="M68" s="35" t="s">
        <v>9</v>
      </c>
      <c r="N68" s="34" t="s">
        <v>14028</v>
      </c>
      <c r="O68" s="35" t="s">
        <v>164</v>
      </c>
      <c r="P68" s="35" t="s">
        <v>2206</v>
      </c>
    </row>
    <row r="69" spans="1:16" ht="409.6" x14ac:dyDescent="0.25">
      <c r="A69" s="35">
        <v>67</v>
      </c>
      <c r="B69" s="34" t="s">
        <v>18994</v>
      </c>
      <c r="C69" s="35"/>
      <c r="D69" s="34" t="s">
        <v>11788</v>
      </c>
      <c r="E69" s="34" t="s">
        <v>14024</v>
      </c>
      <c r="F69" s="34" t="s">
        <v>18995</v>
      </c>
      <c r="G69" s="34" t="s">
        <v>3181</v>
      </c>
      <c r="H69" s="34" t="s">
        <v>18996</v>
      </c>
      <c r="I69" s="35">
        <v>1</v>
      </c>
      <c r="J69" s="34" t="s">
        <v>18997</v>
      </c>
      <c r="K69" s="35"/>
      <c r="L69" s="34" t="s">
        <v>18703</v>
      </c>
      <c r="M69" s="35" t="s">
        <v>9</v>
      </c>
      <c r="N69" s="34" t="s">
        <v>14522</v>
      </c>
      <c r="O69" s="35" t="s">
        <v>164</v>
      </c>
      <c r="P69" s="35" t="s">
        <v>2206</v>
      </c>
    </row>
    <row r="70" spans="1:16" ht="409.6" x14ac:dyDescent="0.25">
      <c r="A70" s="35">
        <v>68</v>
      </c>
      <c r="B70" s="34" t="s">
        <v>18998</v>
      </c>
      <c r="C70" s="35" t="s">
        <v>18999</v>
      </c>
      <c r="D70" s="34" t="s">
        <v>18742</v>
      </c>
      <c r="E70" s="34" t="s">
        <v>18743</v>
      </c>
      <c r="F70" s="34" t="s">
        <v>18744</v>
      </c>
      <c r="G70" s="34" t="s">
        <v>18745</v>
      </c>
      <c r="H70" s="34" t="s">
        <v>18746</v>
      </c>
      <c r="I70" s="35">
        <v>1</v>
      </c>
      <c r="J70" s="34" t="s">
        <v>19000</v>
      </c>
      <c r="K70" s="35"/>
      <c r="L70" s="34" t="s">
        <v>18703</v>
      </c>
      <c r="M70" s="35" t="s">
        <v>9</v>
      </c>
      <c r="N70" s="34" t="s">
        <v>19001</v>
      </c>
      <c r="O70" s="35" t="s">
        <v>164</v>
      </c>
      <c r="P70" s="35" t="s">
        <v>2271</v>
      </c>
    </row>
    <row r="71" spans="1:16" ht="409.6" x14ac:dyDescent="0.25">
      <c r="A71" s="35">
        <v>69</v>
      </c>
      <c r="B71" s="34" t="s">
        <v>19002</v>
      </c>
      <c r="C71" s="35"/>
      <c r="D71" s="34" t="s">
        <v>19003</v>
      </c>
      <c r="E71" s="34" t="s">
        <v>19004</v>
      </c>
      <c r="F71" s="34" t="s">
        <v>19005</v>
      </c>
      <c r="G71" s="34" t="s">
        <v>19006</v>
      </c>
      <c r="H71" s="34" t="s">
        <v>19007</v>
      </c>
      <c r="I71" s="35">
        <v>1</v>
      </c>
      <c r="J71" s="34" t="s">
        <v>19008</v>
      </c>
      <c r="K71" s="35"/>
      <c r="L71" s="34" t="s">
        <v>18703</v>
      </c>
      <c r="M71" s="35" t="s">
        <v>9</v>
      </c>
      <c r="N71" s="34" t="s">
        <v>19009</v>
      </c>
      <c r="O71" s="35" t="s">
        <v>164</v>
      </c>
      <c r="P71" s="35" t="s">
        <v>2271</v>
      </c>
    </row>
    <row r="72" spans="1:16" ht="409.6" x14ac:dyDescent="0.25">
      <c r="A72" s="35">
        <v>70</v>
      </c>
      <c r="B72" s="34" t="s">
        <v>19010</v>
      </c>
      <c r="C72" s="35" t="s">
        <v>19011</v>
      </c>
      <c r="D72" s="34" t="s">
        <v>19012</v>
      </c>
      <c r="E72" s="34" t="s">
        <v>18938</v>
      </c>
      <c r="F72" s="34" t="s">
        <v>19013</v>
      </c>
      <c r="G72" s="34" t="s">
        <v>19014</v>
      </c>
      <c r="H72" s="34" t="s">
        <v>19015</v>
      </c>
      <c r="I72" s="35">
        <v>1</v>
      </c>
      <c r="J72" s="34" t="s">
        <v>19016</v>
      </c>
      <c r="K72" s="35"/>
      <c r="L72" s="34" t="s">
        <v>18703</v>
      </c>
      <c r="M72" s="35" t="s">
        <v>9</v>
      </c>
      <c r="N72" s="34" t="s">
        <v>19017</v>
      </c>
      <c r="O72" s="35" t="s">
        <v>164</v>
      </c>
      <c r="P72" s="35" t="s">
        <v>2271</v>
      </c>
    </row>
    <row r="73" spans="1:16" ht="409.6" x14ac:dyDescent="0.25">
      <c r="A73" s="35">
        <v>71</v>
      </c>
      <c r="B73" s="34" t="s">
        <v>19018</v>
      </c>
      <c r="C73" s="35"/>
      <c r="D73" s="34" t="s">
        <v>19019</v>
      </c>
      <c r="E73" s="34" t="s">
        <v>19020</v>
      </c>
      <c r="F73" s="34" t="s">
        <v>19021</v>
      </c>
      <c r="G73" s="34" t="s">
        <v>19022</v>
      </c>
      <c r="H73" s="34" t="s">
        <v>19023</v>
      </c>
      <c r="I73" s="35">
        <v>1</v>
      </c>
      <c r="J73" s="34" t="s">
        <v>19024</v>
      </c>
      <c r="K73" s="35"/>
      <c r="L73" s="34" t="s">
        <v>18703</v>
      </c>
      <c r="M73" s="35" t="s">
        <v>9</v>
      </c>
      <c r="N73" s="34" t="s">
        <v>19025</v>
      </c>
      <c r="O73" s="35" t="s">
        <v>164</v>
      </c>
      <c r="P73" s="35" t="s">
        <v>2271</v>
      </c>
    </row>
    <row r="74" spans="1:16" ht="409.6" x14ac:dyDescent="0.25">
      <c r="A74" s="35">
        <v>72</v>
      </c>
      <c r="B74" s="34" t="s">
        <v>19026</v>
      </c>
      <c r="C74" s="35"/>
      <c r="D74" s="34" t="s">
        <v>19027</v>
      </c>
      <c r="E74" s="34" t="s">
        <v>3524</v>
      </c>
      <c r="F74" s="34" t="s">
        <v>19028</v>
      </c>
      <c r="G74" s="34" t="s">
        <v>16154</v>
      </c>
      <c r="H74" s="34" t="s">
        <v>19029</v>
      </c>
      <c r="I74" s="35">
        <v>1</v>
      </c>
      <c r="J74" s="34" t="s">
        <v>19030</v>
      </c>
      <c r="K74" s="35"/>
      <c r="L74" s="34" t="s">
        <v>18703</v>
      </c>
      <c r="M74" s="35" t="s">
        <v>9</v>
      </c>
      <c r="N74" s="34" t="s">
        <v>19031</v>
      </c>
      <c r="O74" s="35" t="s">
        <v>164</v>
      </c>
      <c r="P74" s="35" t="s">
        <v>2271</v>
      </c>
    </row>
    <row r="75" spans="1:16" ht="409.6" x14ac:dyDescent="0.25">
      <c r="A75" s="35">
        <v>73</v>
      </c>
      <c r="B75" s="34" t="s">
        <v>19032</v>
      </c>
      <c r="C75" s="35"/>
      <c r="D75" s="34" t="s">
        <v>19033</v>
      </c>
      <c r="E75" s="34" t="s">
        <v>19034</v>
      </c>
      <c r="F75" s="34" t="s">
        <v>19035</v>
      </c>
      <c r="G75" s="34" t="s">
        <v>19036</v>
      </c>
      <c r="H75" s="34" t="s">
        <v>19037</v>
      </c>
      <c r="I75" s="35">
        <v>1</v>
      </c>
      <c r="J75" s="34" t="s">
        <v>19038</v>
      </c>
      <c r="K75" s="35"/>
      <c r="L75" s="34" t="s">
        <v>18703</v>
      </c>
      <c r="M75" s="35" t="s">
        <v>9</v>
      </c>
      <c r="N75" s="34" t="s">
        <v>19039</v>
      </c>
      <c r="O75" s="35" t="s">
        <v>164</v>
      </c>
      <c r="P75" s="35" t="s">
        <v>2271</v>
      </c>
    </row>
    <row r="76" spans="1:16" ht="409.6" x14ac:dyDescent="0.25">
      <c r="A76" s="35">
        <v>74</v>
      </c>
      <c r="B76" s="34" t="s">
        <v>19040</v>
      </c>
      <c r="C76" s="35"/>
      <c r="D76" s="34" t="s">
        <v>19041</v>
      </c>
      <c r="E76" s="34" t="s">
        <v>19042</v>
      </c>
      <c r="F76" s="34" t="s">
        <v>19043</v>
      </c>
      <c r="G76" s="34" t="s">
        <v>19044</v>
      </c>
      <c r="H76" s="34" t="s">
        <v>19045</v>
      </c>
      <c r="I76" s="35">
        <v>1</v>
      </c>
      <c r="J76" s="34" t="s">
        <v>19046</v>
      </c>
      <c r="K76" s="35"/>
      <c r="L76" s="34" t="s">
        <v>18703</v>
      </c>
      <c r="M76" s="35" t="s">
        <v>9</v>
      </c>
      <c r="N76" s="34" t="s">
        <v>19047</v>
      </c>
      <c r="O76" s="35" t="s">
        <v>164</v>
      </c>
      <c r="P76" s="35" t="s">
        <v>2271</v>
      </c>
    </row>
    <row r="77" spans="1:16" ht="409.6" x14ac:dyDescent="0.25">
      <c r="A77" s="35">
        <v>75</v>
      </c>
      <c r="B77" s="34" t="s">
        <v>19048</v>
      </c>
      <c r="C77" s="35"/>
      <c r="D77" s="34" t="s">
        <v>3181</v>
      </c>
      <c r="E77" s="34" t="s">
        <v>9809</v>
      </c>
      <c r="F77" s="34" t="s">
        <v>3524</v>
      </c>
      <c r="G77" s="34" t="s">
        <v>9781</v>
      </c>
      <c r="H77" s="34" t="s">
        <v>3183</v>
      </c>
      <c r="I77" s="35">
        <v>1</v>
      </c>
      <c r="J77" s="34" t="s">
        <v>19049</v>
      </c>
      <c r="K77" s="35"/>
      <c r="L77" s="34" t="s">
        <v>18703</v>
      </c>
      <c r="M77" s="35" t="s">
        <v>9</v>
      </c>
      <c r="N77" s="34" t="s">
        <v>19050</v>
      </c>
      <c r="O77" s="35" t="s">
        <v>164</v>
      </c>
      <c r="P77" s="35" t="s">
        <v>2271</v>
      </c>
    </row>
    <row r="78" spans="1:16" ht="409.6" x14ac:dyDescent="0.25">
      <c r="A78" s="35">
        <v>76</v>
      </c>
      <c r="B78" s="34" t="s">
        <v>19051</v>
      </c>
      <c r="C78" s="35"/>
      <c r="D78" s="34" t="s">
        <v>8863</v>
      </c>
      <c r="E78" s="34" t="s">
        <v>12096</v>
      </c>
      <c r="F78" s="34" t="s">
        <v>12109</v>
      </c>
      <c r="G78" s="34" t="s">
        <v>12119</v>
      </c>
      <c r="H78" s="34" t="s">
        <v>12142</v>
      </c>
      <c r="I78" s="35">
        <v>1</v>
      </c>
      <c r="J78" s="34" t="s">
        <v>19052</v>
      </c>
      <c r="K78" s="35"/>
      <c r="L78" s="34" t="s">
        <v>18703</v>
      </c>
      <c r="M78" s="35" t="s">
        <v>9</v>
      </c>
      <c r="N78" s="34" t="s">
        <v>19053</v>
      </c>
      <c r="O78" s="35" t="s">
        <v>164</v>
      </c>
      <c r="P78" s="35" t="s">
        <v>2271</v>
      </c>
    </row>
    <row r="79" spans="1:16" ht="409.6" x14ac:dyDescent="0.25">
      <c r="A79" s="35">
        <v>77</v>
      </c>
      <c r="B79" s="34" t="s">
        <v>19054</v>
      </c>
      <c r="C79" s="35"/>
      <c r="D79" s="34" t="s">
        <v>14794</v>
      </c>
      <c r="E79" s="34" t="s">
        <v>14795</v>
      </c>
      <c r="F79" s="34" t="s">
        <v>15310</v>
      </c>
      <c r="G79" s="34" t="s">
        <v>15311</v>
      </c>
      <c r="H79" s="34" t="s">
        <v>19055</v>
      </c>
      <c r="I79" s="35">
        <v>1</v>
      </c>
      <c r="J79" s="34" t="s">
        <v>19056</v>
      </c>
      <c r="K79" s="35"/>
      <c r="L79" s="34" t="s">
        <v>18703</v>
      </c>
      <c r="M79" s="35" t="s">
        <v>9</v>
      </c>
      <c r="N79" s="34" t="s">
        <v>16079</v>
      </c>
      <c r="O79" s="35" t="s">
        <v>164</v>
      </c>
      <c r="P79" s="35" t="s">
        <v>2436</v>
      </c>
    </row>
    <row r="80" spans="1:16" ht="409.6" x14ac:dyDescent="0.25">
      <c r="A80" s="35">
        <v>78</v>
      </c>
      <c r="B80" s="34" t="s">
        <v>19057</v>
      </c>
      <c r="C80" s="35"/>
      <c r="D80" s="34" t="s">
        <v>19058</v>
      </c>
      <c r="E80" s="34" t="s">
        <v>9809</v>
      </c>
      <c r="F80" s="34" t="s">
        <v>19059</v>
      </c>
      <c r="G80" s="34" t="s">
        <v>3523</v>
      </c>
      <c r="H80" s="34" t="s">
        <v>19060</v>
      </c>
      <c r="I80" s="35">
        <v>1</v>
      </c>
      <c r="J80" s="34" t="s">
        <v>19061</v>
      </c>
      <c r="K80" s="35"/>
      <c r="L80" s="34" t="s">
        <v>18703</v>
      </c>
      <c r="M80" s="35" t="s">
        <v>9</v>
      </c>
      <c r="N80" s="34" t="s">
        <v>19062</v>
      </c>
      <c r="O80" s="35" t="s">
        <v>164</v>
      </c>
      <c r="P80" s="35" t="s">
        <v>2436</v>
      </c>
    </row>
    <row r="81" spans="1:16" ht="409.6" x14ac:dyDescent="0.25">
      <c r="A81" s="35">
        <v>79</v>
      </c>
      <c r="B81" s="34" t="s">
        <v>19063</v>
      </c>
      <c r="C81" s="35"/>
      <c r="D81" s="34" t="s">
        <v>19064</v>
      </c>
      <c r="E81" s="34" t="s">
        <v>19065</v>
      </c>
      <c r="F81" s="34" t="s">
        <v>19066</v>
      </c>
      <c r="G81" s="34" t="s">
        <v>19067</v>
      </c>
      <c r="H81" s="34" t="s">
        <v>19068</v>
      </c>
      <c r="I81" s="35">
        <v>1</v>
      </c>
      <c r="J81" s="34" t="s">
        <v>19069</v>
      </c>
      <c r="K81" s="35"/>
      <c r="L81" s="34" t="s">
        <v>18703</v>
      </c>
      <c r="M81" s="35" t="s">
        <v>9</v>
      </c>
      <c r="N81" s="34" t="s">
        <v>19070</v>
      </c>
      <c r="O81" s="35" t="s">
        <v>164</v>
      </c>
      <c r="P81" s="35" t="s">
        <v>2436</v>
      </c>
    </row>
    <row r="82" spans="1:16" ht="409.6" x14ac:dyDescent="0.25">
      <c r="A82" s="35">
        <v>80</v>
      </c>
      <c r="B82" s="34" t="s">
        <v>19071</v>
      </c>
      <c r="C82" s="35"/>
      <c r="D82" s="34" t="s">
        <v>14794</v>
      </c>
      <c r="E82" s="34" t="s">
        <v>14795</v>
      </c>
      <c r="F82" s="34" t="s">
        <v>15310</v>
      </c>
      <c r="G82" s="34" t="s">
        <v>15311</v>
      </c>
      <c r="H82" s="34" t="s">
        <v>15499</v>
      </c>
      <c r="I82" s="35">
        <v>1</v>
      </c>
      <c r="J82" s="34" t="s">
        <v>19072</v>
      </c>
      <c r="K82" s="35"/>
      <c r="L82" s="34" t="s">
        <v>18703</v>
      </c>
      <c r="M82" s="35" t="s">
        <v>9</v>
      </c>
      <c r="N82" s="34" t="s">
        <v>15803</v>
      </c>
      <c r="O82" s="35" t="s">
        <v>164</v>
      </c>
      <c r="P82" s="35" t="s">
        <v>2436</v>
      </c>
    </row>
    <row r="83" spans="1:16" ht="409.6" x14ac:dyDescent="0.25">
      <c r="A83" s="35">
        <v>81</v>
      </c>
      <c r="B83" s="34" t="s">
        <v>19073</v>
      </c>
      <c r="C83" s="35"/>
      <c r="D83" s="34" t="s">
        <v>19074</v>
      </c>
      <c r="E83" s="34" t="s">
        <v>18995</v>
      </c>
      <c r="F83" s="34" t="s">
        <v>19075</v>
      </c>
      <c r="G83" s="34" t="s">
        <v>19076</v>
      </c>
      <c r="H83" s="34" t="s">
        <v>19077</v>
      </c>
      <c r="I83" s="35">
        <v>1</v>
      </c>
      <c r="J83" s="34" t="s">
        <v>19078</v>
      </c>
      <c r="K83" s="35"/>
      <c r="L83" s="34" t="s">
        <v>18703</v>
      </c>
      <c r="M83" s="35" t="s">
        <v>9</v>
      </c>
      <c r="N83" s="34" t="s">
        <v>14961</v>
      </c>
      <c r="O83" s="35" t="s">
        <v>164</v>
      </c>
      <c r="P83" s="35" t="s">
        <v>2436</v>
      </c>
    </row>
    <row r="84" spans="1:16" ht="409.6" x14ac:dyDescent="0.25">
      <c r="A84" s="35">
        <v>82</v>
      </c>
      <c r="B84" s="34" t="s">
        <v>19079</v>
      </c>
      <c r="C84" s="35"/>
      <c r="D84" s="34" t="s">
        <v>19080</v>
      </c>
      <c r="E84" s="34" t="s">
        <v>19081</v>
      </c>
      <c r="F84" s="34" t="s">
        <v>19082</v>
      </c>
      <c r="G84" s="34" t="s">
        <v>19083</v>
      </c>
      <c r="H84" s="34" t="s">
        <v>19084</v>
      </c>
      <c r="I84" s="35">
        <v>1</v>
      </c>
      <c r="J84" s="34" t="s">
        <v>19085</v>
      </c>
      <c r="K84" s="35"/>
      <c r="L84" s="34" t="s">
        <v>18703</v>
      </c>
      <c r="M84" s="35" t="s">
        <v>9</v>
      </c>
      <c r="N84" s="34" t="s">
        <v>19086</v>
      </c>
      <c r="O84" s="35" t="s">
        <v>164</v>
      </c>
      <c r="P84" s="35" t="s">
        <v>2514</v>
      </c>
    </row>
    <row r="85" spans="1:16" ht="409.6" x14ac:dyDescent="0.25">
      <c r="A85" s="35">
        <v>83</v>
      </c>
      <c r="B85" s="34" t="s">
        <v>19087</v>
      </c>
      <c r="C85" s="35"/>
      <c r="D85" s="34" t="s">
        <v>19088</v>
      </c>
      <c r="E85" s="34" t="s">
        <v>19089</v>
      </c>
      <c r="F85" s="34" t="s">
        <v>19090</v>
      </c>
      <c r="G85" s="34" t="s">
        <v>19091</v>
      </c>
      <c r="H85" s="34" t="s">
        <v>19092</v>
      </c>
      <c r="I85" s="35">
        <v>1</v>
      </c>
      <c r="J85" s="34" t="s">
        <v>19093</v>
      </c>
      <c r="K85" s="35"/>
      <c r="L85" s="34" t="s">
        <v>18703</v>
      </c>
      <c r="M85" s="35" t="s">
        <v>9</v>
      </c>
      <c r="N85" s="34" t="s">
        <v>19094</v>
      </c>
      <c r="O85" s="35" t="s">
        <v>164</v>
      </c>
      <c r="P85" s="35" t="s">
        <v>2514</v>
      </c>
    </row>
    <row r="86" spans="1:16" ht="409.6" x14ac:dyDescent="0.25">
      <c r="A86" s="35">
        <v>84</v>
      </c>
      <c r="B86" s="34" t="s">
        <v>19095</v>
      </c>
      <c r="C86" s="35" t="s">
        <v>19096</v>
      </c>
      <c r="D86" s="34" t="s">
        <v>19097</v>
      </c>
      <c r="E86" s="34" t="s">
        <v>19098</v>
      </c>
      <c r="F86" s="34" t="s">
        <v>19099</v>
      </c>
      <c r="G86" s="34" t="s">
        <v>19100</v>
      </c>
      <c r="H86" s="34" t="s">
        <v>19101</v>
      </c>
      <c r="I86" s="35">
        <v>1</v>
      </c>
      <c r="J86" s="34" t="s">
        <v>19102</v>
      </c>
      <c r="K86" s="35"/>
      <c r="L86" s="34" t="s">
        <v>18703</v>
      </c>
      <c r="M86" s="35" t="s">
        <v>9</v>
      </c>
      <c r="N86" s="34" t="s">
        <v>19103</v>
      </c>
      <c r="O86" s="35" t="s">
        <v>164</v>
      </c>
      <c r="P86" s="35" t="s">
        <v>2514</v>
      </c>
    </row>
    <row r="87" spans="1:16" ht="13.2" x14ac:dyDescent="0.25">
      <c r="A87">
        <v>85</v>
      </c>
      <c r="B87" t="s">
        <v>19104</v>
      </c>
      <c r="D87" t="s">
        <v>9346</v>
      </c>
      <c r="E87" t="s">
        <v>9347</v>
      </c>
      <c r="F87" t="s">
        <v>19105</v>
      </c>
      <c r="G87" t="s">
        <v>9349</v>
      </c>
      <c r="H87" t="s">
        <v>9348</v>
      </c>
      <c r="I87" t="s">
        <v>84</v>
      </c>
      <c r="J87" t="s">
        <v>19106</v>
      </c>
      <c r="L87" t="s">
        <v>1645</v>
      </c>
      <c r="M87" t="s">
        <v>29</v>
      </c>
      <c r="N87" t="s">
        <v>3780</v>
      </c>
    </row>
  </sheetData>
  <mergeCells count="1">
    <mergeCell ref="A1:F1"/>
  </mergeCell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Q85"/>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7" ht="34.950000000000003" customHeight="1" x14ac:dyDescent="0.25">
      <c r="A1" s="51" t="str">
        <f>HYPERLINK("#gid=0", "🏠 กลับสู่หน้าแรก (Go to Home Page)")</f>
        <v>🏠 กลับสู่หน้าแรก (Go to Home Page)</v>
      </c>
      <c r="B1" s="49"/>
      <c r="C1" s="49"/>
      <c r="D1" s="49"/>
      <c r="E1" s="49"/>
      <c r="F1" s="49"/>
    </row>
    <row r="2" spans="1:17"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7" ht="13.2" customHeight="1" x14ac:dyDescent="0.25">
      <c r="A3" s="8" t="s">
        <v>96</v>
      </c>
      <c r="B3" s="2" t="s">
        <v>19107</v>
      </c>
      <c r="C3" s="2"/>
      <c r="D3" s="2" t="s">
        <v>19108</v>
      </c>
      <c r="E3" s="2" t="s">
        <v>19109</v>
      </c>
      <c r="F3" s="2" t="s">
        <v>19110</v>
      </c>
      <c r="G3" s="2" t="s">
        <v>19111</v>
      </c>
      <c r="H3" s="2" t="s">
        <v>19112</v>
      </c>
      <c r="I3" s="8" t="s">
        <v>84</v>
      </c>
      <c r="J3" s="2" t="s">
        <v>19113</v>
      </c>
      <c r="K3" s="2"/>
      <c r="L3" s="2" t="s">
        <v>19114</v>
      </c>
      <c r="M3" s="2" t="s">
        <v>19115</v>
      </c>
      <c r="N3" s="2" t="s">
        <v>19116</v>
      </c>
      <c r="O3" s="2" t="s">
        <v>816</v>
      </c>
      <c r="P3" s="2" t="s">
        <v>1849</v>
      </c>
      <c r="Q3" s="2"/>
    </row>
    <row r="4" spans="1:17" ht="13.2" customHeight="1" x14ac:dyDescent="0.25">
      <c r="A4" s="8" t="s">
        <v>90</v>
      </c>
      <c r="B4" s="2" t="s">
        <v>19117</v>
      </c>
      <c r="C4" s="2"/>
      <c r="D4" s="2" t="s">
        <v>3181</v>
      </c>
      <c r="E4" s="2" t="s">
        <v>3524</v>
      </c>
      <c r="F4" s="2" t="s">
        <v>19118</v>
      </c>
      <c r="G4" s="2" t="s">
        <v>3185</v>
      </c>
      <c r="H4" s="2" t="s">
        <v>9809</v>
      </c>
      <c r="I4" s="8" t="s">
        <v>84</v>
      </c>
      <c r="J4" s="2" t="s">
        <v>19119</v>
      </c>
      <c r="K4" s="2"/>
      <c r="L4" s="2" t="s">
        <v>19120</v>
      </c>
      <c r="M4" s="2" t="s">
        <v>19115</v>
      </c>
      <c r="N4" s="2" t="s">
        <v>19121</v>
      </c>
      <c r="O4" s="2" t="s">
        <v>816</v>
      </c>
      <c r="P4" s="2" t="s">
        <v>1849</v>
      </c>
      <c r="Q4" s="2"/>
    </row>
    <row r="5" spans="1:17" ht="13.2" customHeight="1" x14ac:dyDescent="0.25">
      <c r="A5" s="8" t="s">
        <v>113</v>
      </c>
      <c r="B5" s="2" t="s">
        <v>19122</v>
      </c>
      <c r="C5" s="2"/>
      <c r="D5" s="2" t="s">
        <v>19123</v>
      </c>
      <c r="E5" s="2" t="s">
        <v>19124</v>
      </c>
      <c r="F5" s="2" t="s">
        <v>19125</v>
      </c>
      <c r="G5" s="2" t="s">
        <v>19126</v>
      </c>
      <c r="H5" s="2" t="s">
        <v>19127</v>
      </c>
      <c r="I5" s="8" t="s">
        <v>84</v>
      </c>
      <c r="J5" s="2" t="s">
        <v>19128</v>
      </c>
      <c r="K5" s="2"/>
      <c r="L5" s="2" t="s">
        <v>19129</v>
      </c>
      <c r="M5" s="2" t="s">
        <v>19115</v>
      </c>
      <c r="N5" s="2" t="s">
        <v>19130</v>
      </c>
      <c r="O5" s="2" t="s">
        <v>816</v>
      </c>
      <c r="P5" s="2" t="s">
        <v>1849</v>
      </c>
      <c r="Q5" s="2"/>
    </row>
    <row r="6" spans="1:17" ht="13.2" customHeight="1" x14ac:dyDescent="0.25">
      <c r="A6" s="8" t="s">
        <v>123</v>
      </c>
      <c r="B6" s="2" t="s">
        <v>19131</v>
      </c>
      <c r="C6" s="2"/>
      <c r="D6" s="2" t="s">
        <v>19132</v>
      </c>
      <c r="E6" s="2" t="s">
        <v>19133</v>
      </c>
      <c r="F6" s="2" t="s">
        <v>19134</v>
      </c>
      <c r="G6" s="2" t="s">
        <v>19135</v>
      </c>
      <c r="H6" s="2" t="s">
        <v>19136</v>
      </c>
      <c r="I6" s="8" t="s">
        <v>84</v>
      </c>
      <c r="J6" s="2" t="s">
        <v>19137</v>
      </c>
      <c r="K6" s="2"/>
      <c r="L6" s="2" t="s">
        <v>19120</v>
      </c>
      <c r="M6" s="2" t="s">
        <v>19115</v>
      </c>
      <c r="N6" s="2" t="s">
        <v>19138</v>
      </c>
      <c r="O6" s="2" t="s">
        <v>816</v>
      </c>
      <c r="P6" s="2" t="s">
        <v>1849</v>
      </c>
      <c r="Q6" s="2"/>
    </row>
    <row r="7" spans="1:17" ht="13.2" customHeight="1" x14ac:dyDescent="0.25">
      <c r="A7" s="8" t="s">
        <v>132</v>
      </c>
      <c r="B7" s="2" t="s">
        <v>19139</v>
      </c>
      <c r="C7" s="2"/>
      <c r="D7" s="2" t="s">
        <v>19140</v>
      </c>
      <c r="E7" s="2" t="s">
        <v>19141</v>
      </c>
      <c r="F7" s="2" t="s">
        <v>19142</v>
      </c>
      <c r="G7" s="2" t="s">
        <v>19143</v>
      </c>
      <c r="H7" s="2" t="s">
        <v>19144</v>
      </c>
      <c r="I7" s="8" t="s">
        <v>84</v>
      </c>
      <c r="J7" s="2" t="s">
        <v>19145</v>
      </c>
      <c r="K7" s="2"/>
      <c r="L7" s="2" t="s">
        <v>19129</v>
      </c>
      <c r="M7" s="2" t="s">
        <v>19115</v>
      </c>
      <c r="N7" s="2" t="s">
        <v>19146</v>
      </c>
      <c r="O7" s="2" t="s">
        <v>816</v>
      </c>
      <c r="P7" s="2" t="s">
        <v>1849</v>
      </c>
      <c r="Q7" s="2"/>
    </row>
    <row r="8" spans="1:17" ht="13.2" customHeight="1" x14ac:dyDescent="0.25">
      <c r="A8" s="8" t="s">
        <v>10084</v>
      </c>
      <c r="B8" s="2" t="s">
        <v>19147</v>
      </c>
      <c r="C8" s="2"/>
      <c r="D8" s="2" t="s">
        <v>19148</v>
      </c>
      <c r="E8" s="2" t="s">
        <v>19149</v>
      </c>
      <c r="F8" s="2" t="s">
        <v>19150</v>
      </c>
      <c r="G8" s="2" t="s">
        <v>19151</v>
      </c>
      <c r="H8" s="2" t="s">
        <v>19152</v>
      </c>
      <c r="I8" s="8" t="s">
        <v>84</v>
      </c>
      <c r="J8" s="2" t="s">
        <v>19153</v>
      </c>
      <c r="K8" s="2"/>
      <c r="L8" s="2" t="s">
        <v>19114</v>
      </c>
      <c r="M8" s="2" t="s">
        <v>19115</v>
      </c>
      <c r="N8" s="2" t="s">
        <v>19154</v>
      </c>
      <c r="O8" s="2" t="s">
        <v>164</v>
      </c>
      <c r="P8" s="2" t="s">
        <v>1865</v>
      </c>
      <c r="Q8" s="2"/>
    </row>
    <row r="9" spans="1:17" ht="13.2" customHeight="1" x14ac:dyDescent="0.25">
      <c r="A9" s="8" t="s">
        <v>10093</v>
      </c>
      <c r="B9" s="2" t="s">
        <v>19155</v>
      </c>
      <c r="C9" s="2"/>
      <c r="D9" s="2" t="s">
        <v>19156</v>
      </c>
      <c r="E9" s="2" t="s">
        <v>15241</v>
      </c>
      <c r="F9" s="2" t="s">
        <v>15242</v>
      </c>
      <c r="G9" s="2" t="s">
        <v>15243</v>
      </c>
      <c r="H9" s="2" t="s">
        <v>19157</v>
      </c>
      <c r="I9" s="8" t="s">
        <v>84</v>
      </c>
      <c r="J9" s="2" t="s">
        <v>19158</v>
      </c>
      <c r="K9" s="2"/>
      <c r="L9" s="2" t="s">
        <v>19120</v>
      </c>
      <c r="M9" s="2" t="s">
        <v>19115</v>
      </c>
      <c r="N9" s="2" t="s">
        <v>19159</v>
      </c>
      <c r="O9" s="2" t="s">
        <v>164</v>
      </c>
      <c r="P9" s="2" t="s">
        <v>2109</v>
      </c>
      <c r="Q9" s="2"/>
    </row>
    <row r="10" spans="1:17" ht="13.2" customHeight="1" x14ac:dyDescent="0.25">
      <c r="A10" s="8" t="s">
        <v>10102</v>
      </c>
      <c r="B10" s="2" t="s">
        <v>19160</v>
      </c>
      <c r="C10" s="2"/>
      <c r="D10" s="2" t="s">
        <v>1902</v>
      </c>
      <c r="E10" s="2" t="s">
        <v>18142</v>
      </c>
      <c r="F10" s="2" t="s">
        <v>18143</v>
      </c>
      <c r="G10" s="2" t="s">
        <v>18144</v>
      </c>
      <c r="H10" s="2" t="s">
        <v>19161</v>
      </c>
      <c r="I10" s="8" t="s">
        <v>84</v>
      </c>
      <c r="J10" s="2" t="s">
        <v>19162</v>
      </c>
      <c r="K10" s="2"/>
      <c r="L10" s="2" t="s">
        <v>19120</v>
      </c>
      <c r="M10" s="2" t="s">
        <v>19115</v>
      </c>
      <c r="N10" s="2" t="s">
        <v>19163</v>
      </c>
      <c r="O10" s="2" t="s">
        <v>164</v>
      </c>
      <c r="P10" s="2" t="s">
        <v>2109</v>
      </c>
      <c r="Q10" s="2"/>
    </row>
    <row r="11" spans="1:17" ht="13.2" customHeight="1" x14ac:dyDescent="0.25">
      <c r="A11" s="2">
        <v>9</v>
      </c>
      <c r="B11" s="2" t="s">
        <v>19164</v>
      </c>
      <c r="C11" s="2"/>
      <c r="D11" s="2" t="s">
        <v>19165</v>
      </c>
      <c r="E11" s="2" t="s">
        <v>19166</v>
      </c>
      <c r="F11" s="2" t="s">
        <v>19167</v>
      </c>
      <c r="G11" s="2" t="s">
        <v>19168</v>
      </c>
      <c r="H11" s="2" t="s">
        <v>19169</v>
      </c>
      <c r="I11" s="2">
        <v>1</v>
      </c>
      <c r="J11" s="2" t="s">
        <v>19170</v>
      </c>
      <c r="K11" s="2"/>
      <c r="L11" s="2" t="s">
        <v>19120</v>
      </c>
      <c r="M11" s="2" t="s">
        <v>9</v>
      </c>
      <c r="N11" s="2" t="s">
        <v>19171</v>
      </c>
      <c r="O11" s="2" t="s">
        <v>164</v>
      </c>
      <c r="P11" s="2" t="s">
        <v>2206</v>
      </c>
    </row>
    <row r="12" spans="1:17" ht="13.2" customHeight="1" x14ac:dyDescent="0.25">
      <c r="A12" s="2">
        <v>10</v>
      </c>
      <c r="B12" s="2" t="s">
        <v>19172</v>
      </c>
      <c r="C12" s="2"/>
      <c r="D12" s="2" t="s">
        <v>8082</v>
      </c>
      <c r="E12" s="2" t="s">
        <v>8482</v>
      </c>
      <c r="F12" s="2" t="s">
        <v>19173</v>
      </c>
      <c r="G12" s="2" t="s">
        <v>19174</v>
      </c>
      <c r="H12" s="2" t="s">
        <v>19175</v>
      </c>
      <c r="I12" s="2">
        <v>1</v>
      </c>
      <c r="J12" s="2" t="s">
        <v>19176</v>
      </c>
      <c r="K12" s="2"/>
      <c r="L12" s="2" t="s">
        <v>19177</v>
      </c>
      <c r="M12" s="2" t="s">
        <v>9</v>
      </c>
      <c r="N12" s="2" t="s">
        <v>19178</v>
      </c>
      <c r="O12" s="2" t="s">
        <v>164</v>
      </c>
      <c r="P12" s="2" t="s">
        <v>2206</v>
      </c>
    </row>
    <row r="13" spans="1:17" ht="13.2" customHeight="1" x14ac:dyDescent="0.25">
      <c r="A13" s="2">
        <v>11</v>
      </c>
      <c r="B13" s="2" t="s">
        <v>19179</v>
      </c>
      <c r="C13" s="2"/>
      <c r="D13" s="2" t="s">
        <v>19180</v>
      </c>
      <c r="E13" s="2" t="s">
        <v>15715</v>
      </c>
      <c r="F13" s="2" t="s">
        <v>16159</v>
      </c>
      <c r="G13" s="2" t="s">
        <v>19181</v>
      </c>
      <c r="H13" s="2" t="s">
        <v>19027</v>
      </c>
      <c r="I13" s="2">
        <v>1</v>
      </c>
      <c r="J13" s="2" t="s">
        <v>19182</v>
      </c>
      <c r="K13" s="2"/>
      <c r="L13" s="2" t="s">
        <v>19120</v>
      </c>
      <c r="M13" s="2" t="s">
        <v>9</v>
      </c>
      <c r="N13" s="2" t="s">
        <v>19183</v>
      </c>
      <c r="O13" s="2" t="s">
        <v>164</v>
      </c>
      <c r="P13" s="2" t="s">
        <v>2271</v>
      </c>
    </row>
    <row r="14" spans="1:17" ht="13.2" customHeight="1" x14ac:dyDescent="0.25">
      <c r="A14" s="2">
        <v>12</v>
      </c>
      <c r="B14" s="2" t="s">
        <v>19184</v>
      </c>
      <c r="C14" s="2"/>
      <c r="D14" s="2" t="s">
        <v>19185</v>
      </c>
      <c r="E14" s="2" t="s">
        <v>19186</v>
      </c>
      <c r="F14" s="2" t="s">
        <v>19187</v>
      </c>
      <c r="G14" s="2" t="s">
        <v>15579</v>
      </c>
      <c r="H14" s="2" t="s">
        <v>19188</v>
      </c>
      <c r="I14" s="2">
        <v>1</v>
      </c>
      <c r="J14" s="2" t="s">
        <v>19189</v>
      </c>
      <c r="K14" s="2"/>
      <c r="L14" s="2" t="s">
        <v>19120</v>
      </c>
      <c r="M14" s="2" t="s">
        <v>9</v>
      </c>
      <c r="N14" s="2" t="s">
        <v>19190</v>
      </c>
      <c r="O14" s="2" t="s">
        <v>164</v>
      </c>
      <c r="P14" s="2" t="s">
        <v>2514</v>
      </c>
    </row>
    <row r="15" spans="1:17" ht="13.2" customHeight="1" x14ac:dyDescent="0.25">
      <c r="A15" s="2">
        <v>13</v>
      </c>
      <c r="B15" s="2" t="s">
        <v>19191</v>
      </c>
      <c r="C15" s="2"/>
      <c r="D15" s="2" t="s">
        <v>19192</v>
      </c>
      <c r="E15" s="2" t="s">
        <v>19193</v>
      </c>
      <c r="F15" s="2" t="s">
        <v>19194</v>
      </c>
      <c r="G15" s="2" t="s">
        <v>19195</v>
      </c>
      <c r="H15" s="2" t="s">
        <v>19196</v>
      </c>
      <c r="I15" s="2">
        <v>1</v>
      </c>
      <c r="J15" s="2" t="s">
        <v>19197</v>
      </c>
      <c r="K15" s="2"/>
      <c r="L15" s="2" t="s">
        <v>19177</v>
      </c>
      <c r="M15" s="2" t="s">
        <v>9</v>
      </c>
      <c r="N15" s="2" t="s">
        <v>19198</v>
      </c>
      <c r="O15" s="2" t="s">
        <v>164</v>
      </c>
      <c r="P15" s="2" t="s">
        <v>3561</v>
      </c>
    </row>
    <row r="16" spans="1:17" ht="13.2" customHeight="1" x14ac:dyDescent="0.25">
      <c r="A16" s="2">
        <v>14</v>
      </c>
      <c r="B16" s="2" t="s">
        <v>19199</v>
      </c>
      <c r="C16" s="2"/>
      <c r="D16" s="2" t="s">
        <v>19195</v>
      </c>
      <c r="E16" s="2" t="s">
        <v>19196</v>
      </c>
      <c r="F16" s="2" t="s">
        <v>19200</v>
      </c>
      <c r="G16" s="2" t="s">
        <v>19201</v>
      </c>
      <c r="H16" s="2" t="s">
        <v>19202</v>
      </c>
      <c r="I16" s="2">
        <v>1</v>
      </c>
      <c r="J16" s="2" t="s">
        <v>19203</v>
      </c>
      <c r="K16" s="2"/>
      <c r="L16" s="2" t="s">
        <v>19129</v>
      </c>
      <c r="M16" s="2" t="s">
        <v>9</v>
      </c>
      <c r="N16" s="2" t="s">
        <v>19204</v>
      </c>
      <c r="O16" s="2" t="s">
        <v>164</v>
      </c>
      <c r="P16" s="2" t="s">
        <v>3561</v>
      </c>
    </row>
    <row r="17" spans="1:16" ht="13.2" customHeight="1" x14ac:dyDescent="0.25">
      <c r="A17" s="2">
        <v>15</v>
      </c>
      <c r="B17" s="2" t="s">
        <v>19205</v>
      </c>
      <c r="C17" s="2"/>
      <c r="D17" s="2" t="s">
        <v>15713</v>
      </c>
      <c r="E17" s="2" t="s">
        <v>15715</v>
      </c>
      <c r="F17" s="2" t="s">
        <v>19206</v>
      </c>
      <c r="G17" s="2" t="s">
        <v>16159</v>
      </c>
      <c r="H17" s="2" t="s">
        <v>19207</v>
      </c>
      <c r="I17" s="2">
        <v>1</v>
      </c>
      <c r="J17" s="2" t="s">
        <v>19208</v>
      </c>
      <c r="K17" s="2"/>
      <c r="L17" s="2" t="s">
        <v>19120</v>
      </c>
      <c r="M17" s="2" t="s">
        <v>9</v>
      </c>
      <c r="N17" s="2" t="s">
        <v>19209</v>
      </c>
      <c r="O17" s="2" t="s">
        <v>164</v>
      </c>
      <c r="P17" s="2" t="s">
        <v>2706</v>
      </c>
    </row>
    <row r="18" spans="1:16" ht="13.2" customHeight="1" x14ac:dyDescent="0.25">
      <c r="A18" s="2">
        <v>16</v>
      </c>
      <c r="B18" s="2" t="s">
        <v>19210</v>
      </c>
      <c r="C18" s="2"/>
      <c r="D18" s="2" t="s">
        <v>19211</v>
      </c>
      <c r="E18" s="2" t="s">
        <v>19192</v>
      </c>
      <c r="F18" s="2" t="s">
        <v>19193</v>
      </c>
      <c r="G18" s="2" t="s">
        <v>19194</v>
      </c>
      <c r="H18" s="2" t="s">
        <v>19195</v>
      </c>
      <c r="I18" s="2">
        <v>1</v>
      </c>
      <c r="J18" s="2" t="s">
        <v>19212</v>
      </c>
      <c r="K18" s="2"/>
      <c r="L18" s="2" t="s">
        <v>19177</v>
      </c>
      <c r="M18" s="2" t="s">
        <v>9</v>
      </c>
      <c r="N18" s="2" t="s">
        <v>7452</v>
      </c>
      <c r="O18" s="2" t="s">
        <v>164</v>
      </c>
      <c r="P18" s="2" t="s">
        <v>2706</v>
      </c>
    </row>
    <row r="19" spans="1:16" ht="13.2" customHeight="1" x14ac:dyDescent="0.25">
      <c r="A19" s="2">
        <v>17</v>
      </c>
      <c r="B19" s="2" t="s">
        <v>19213</v>
      </c>
      <c r="C19" s="2"/>
      <c r="D19" s="2" t="s">
        <v>19194</v>
      </c>
      <c r="E19" s="2" t="s">
        <v>19195</v>
      </c>
      <c r="F19" s="2" t="s">
        <v>19196</v>
      </c>
      <c r="G19" s="2" t="s">
        <v>19200</v>
      </c>
      <c r="H19" s="2" t="s">
        <v>19201</v>
      </c>
      <c r="I19" s="2">
        <v>1</v>
      </c>
      <c r="J19" s="2" t="s">
        <v>19214</v>
      </c>
      <c r="K19" s="2"/>
      <c r="L19" s="2" t="s">
        <v>19177</v>
      </c>
      <c r="M19" s="2" t="s">
        <v>9</v>
      </c>
      <c r="N19" s="2" t="s">
        <v>9020</v>
      </c>
      <c r="O19" s="2" t="s">
        <v>164</v>
      </c>
      <c r="P19" s="2" t="s">
        <v>2706</v>
      </c>
    </row>
    <row r="20" spans="1:16" ht="13.2" customHeight="1" x14ac:dyDescent="0.25">
      <c r="A20" s="2">
        <v>18</v>
      </c>
      <c r="B20" s="2" t="s">
        <v>19215</v>
      </c>
      <c r="C20" s="2"/>
      <c r="D20" s="2" t="s">
        <v>19200</v>
      </c>
      <c r="E20" s="2" t="s">
        <v>19201</v>
      </c>
      <c r="F20" s="2" t="s">
        <v>19202</v>
      </c>
      <c r="G20" s="2" t="s">
        <v>19216</v>
      </c>
      <c r="H20" s="2" t="s">
        <v>19211</v>
      </c>
      <c r="I20" s="2">
        <v>1</v>
      </c>
      <c r="J20" s="2" t="s">
        <v>19217</v>
      </c>
      <c r="K20" s="2"/>
      <c r="L20" s="2" t="s">
        <v>19177</v>
      </c>
      <c r="M20" s="2" t="s">
        <v>9</v>
      </c>
      <c r="N20" s="2" t="s">
        <v>6873</v>
      </c>
      <c r="O20" s="2" t="s">
        <v>164</v>
      </c>
      <c r="P20" s="2" t="s">
        <v>2706</v>
      </c>
    </row>
    <row r="21" spans="1:16" ht="13.2" customHeight="1" x14ac:dyDescent="0.25">
      <c r="A21" s="2">
        <v>19</v>
      </c>
      <c r="B21" s="2" t="s">
        <v>19218</v>
      </c>
      <c r="C21" s="2"/>
      <c r="D21" s="2" t="s">
        <v>19216</v>
      </c>
      <c r="E21" s="2" t="s">
        <v>19211</v>
      </c>
      <c r="F21" s="2" t="s">
        <v>19192</v>
      </c>
      <c r="G21" s="2" t="s">
        <v>19193</v>
      </c>
      <c r="H21" s="2" t="s">
        <v>19194</v>
      </c>
      <c r="I21" s="2">
        <v>1</v>
      </c>
      <c r="J21" s="2" t="s">
        <v>19219</v>
      </c>
      <c r="K21" s="2"/>
      <c r="L21" s="2" t="s">
        <v>19177</v>
      </c>
      <c r="M21" s="2" t="s">
        <v>9</v>
      </c>
      <c r="N21" s="2" t="s">
        <v>3595</v>
      </c>
      <c r="O21" s="2" t="s">
        <v>164</v>
      </c>
      <c r="P21" s="2" t="s">
        <v>2706</v>
      </c>
    </row>
    <row r="22" spans="1:16" ht="13.2" customHeight="1" x14ac:dyDescent="0.25">
      <c r="A22" s="2">
        <v>20</v>
      </c>
      <c r="B22" s="2" t="s">
        <v>19220</v>
      </c>
      <c r="C22" s="2"/>
      <c r="D22" s="2" t="s">
        <v>19193</v>
      </c>
      <c r="E22" s="2" t="s">
        <v>19194</v>
      </c>
      <c r="F22" s="2" t="s">
        <v>19195</v>
      </c>
      <c r="G22" s="2" t="s">
        <v>19196</v>
      </c>
      <c r="H22" s="2" t="s">
        <v>19200</v>
      </c>
      <c r="I22" s="2">
        <v>1</v>
      </c>
      <c r="J22" s="2" t="s">
        <v>19221</v>
      </c>
      <c r="K22" s="2"/>
      <c r="L22" s="2" t="s">
        <v>19177</v>
      </c>
      <c r="M22" s="2" t="s">
        <v>9</v>
      </c>
      <c r="N22" s="2" t="s">
        <v>3606</v>
      </c>
      <c r="O22" s="2" t="s">
        <v>164</v>
      </c>
      <c r="P22" s="2" t="s">
        <v>2707</v>
      </c>
    </row>
    <row r="23" spans="1:16" ht="13.2" customHeight="1" x14ac:dyDescent="0.25">
      <c r="A23" s="2">
        <v>21</v>
      </c>
      <c r="B23" s="2" t="s">
        <v>19222</v>
      </c>
      <c r="C23" s="2"/>
      <c r="D23" s="2" t="s">
        <v>19223</v>
      </c>
      <c r="E23" s="2" t="s">
        <v>18032</v>
      </c>
      <c r="F23" s="2" t="s">
        <v>19224</v>
      </c>
      <c r="G23" s="2" t="s">
        <v>19225</v>
      </c>
      <c r="H23" s="2" t="s">
        <v>4730</v>
      </c>
      <c r="I23" s="2">
        <v>2</v>
      </c>
      <c r="J23" s="2" t="s">
        <v>19226</v>
      </c>
      <c r="K23" s="2"/>
      <c r="L23" s="2" t="s">
        <v>19120</v>
      </c>
      <c r="M23" s="2" t="s">
        <v>9</v>
      </c>
      <c r="N23" s="2" t="s">
        <v>3659</v>
      </c>
      <c r="O23" s="2" t="s">
        <v>164</v>
      </c>
      <c r="P23" s="2" t="s">
        <v>2707</v>
      </c>
    </row>
    <row r="24" spans="1:16" ht="13.2" customHeight="1" x14ac:dyDescent="0.25">
      <c r="A24" s="2">
        <v>22</v>
      </c>
      <c r="B24" s="2" t="s">
        <v>19227</v>
      </c>
      <c r="C24" s="2"/>
      <c r="D24" s="2" t="s">
        <v>19202</v>
      </c>
      <c r="E24" s="2" t="s">
        <v>19216</v>
      </c>
      <c r="F24" s="2" t="s">
        <v>19211</v>
      </c>
      <c r="G24" s="2" t="s">
        <v>19192</v>
      </c>
      <c r="H24" s="2" t="s">
        <v>19193</v>
      </c>
      <c r="I24" s="2">
        <v>1</v>
      </c>
      <c r="J24" s="2" t="s">
        <v>19228</v>
      </c>
      <c r="K24" s="2"/>
      <c r="L24" s="2" t="s">
        <v>19177</v>
      </c>
      <c r="M24" s="2" t="s">
        <v>9</v>
      </c>
      <c r="N24" s="2" t="s">
        <v>3689</v>
      </c>
      <c r="O24" s="2" t="s">
        <v>164</v>
      </c>
      <c r="P24" s="2" t="s">
        <v>2709</v>
      </c>
    </row>
    <row r="25" spans="1:16" ht="13.2" customHeight="1" x14ac:dyDescent="0.25">
      <c r="A25" s="2">
        <v>23</v>
      </c>
      <c r="B25" s="2" t="s">
        <v>19229</v>
      </c>
      <c r="C25" s="2"/>
      <c r="D25" s="2" t="s">
        <v>19192</v>
      </c>
      <c r="E25" s="2" t="s">
        <v>19193</v>
      </c>
      <c r="F25" s="2" t="s">
        <v>19194</v>
      </c>
      <c r="G25" s="2" t="s">
        <v>19195</v>
      </c>
      <c r="H25" s="2" t="s">
        <v>19196</v>
      </c>
      <c r="I25" s="2">
        <v>1</v>
      </c>
      <c r="J25" s="2" t="s">
        <v>19230</v>
      </c>
      <c r="K25" s="2"/>
      <c r="L25" s="2" t="s">
        <v>19120</v>
      </c>
      <c r="M25" s="2" t="s">
        <v>9</v>
      </c>
      <c r="N25" s="2" t="s">
        <v>9080</v>
      </c>
      <c r="O25" s="2" t="s">
        <v>164</v>
      </c>
      <c r="P25" s="2" t="s">
        <v>2709</v>
      </c>
    </row>
    <row r="26" spans="1:16" ht="13.2" customHeight="1" x14ac:dyDescent="0.25">
      <c r="A26" s="2">
        <v>24</v>
      </c>
      <c r="B26" s="2" t="s">
        <v>19231</v>
      </c>
      <c r="C26" s="2"/>
      <c r="D26" s="2" t="s">
        <v>19232</v>
      </c>
      <c r="E26" s="2" t="s">
        <v>19233</v>
      </c>
      <c r="F26" s="2" t="s">
        <v>19234</v>
      </c>
      <c r="G26" s="2" t="s">
        <v>19235</v>
      </c>
      <c r="H26" s="2" t="s">
        <v>19236</v>
      </c>
      <c r="I26" s="2">
        <v>1</v>
      </c>
      <c r="J26" s="2" t="s">
        <v>19237</v>
      </c>
      <c r="K26" s="2"/>
      <c r="L26" s="2" t="s">
        <v>19177</v>
      </c>
      <c r="M26" s="2" t="s">
        <v>9</v>
      </c>
      <c r="N26" s="2" t="s">
        <v>2548</v>
      </c>
      <c r="O26" s="2" t="s">
        <v>816</v>
      </c>
      <c r="P26" s="2" t="s">
        <v>2710</v>
      </c>
    </row>
    <row r="27" spans="1:16" ht="13.2" customHeight="1" x14ac:dyDescent="0.25">
      <c r="A27" s="2">
        <v>25</v>
      </c>
      <c r="B27" s="2" t="s">
        <v>19238</v>
      </c>
      <c r="C27" s="2"/>
      <c r="D27" s="2" t="s">
        <v>19239</v>
      </c>
      <c r="E27" s="2" t="s">
        <v>19240</v>
      </c>
      <c r="F27" s="2" t="s">
        <v>19241</v>
      </c>
      <c r="G27" s="2" t="s">
        <v>19242</v>
      </c>
      <c r="H27" s="2" t="s">
        <v>19243</v>
      </c>
      <c r="I27" s="2">
        <v>1</v>
      </c>
      <c r="J27" s="2" t="s">
        <v>19244</v>
      </c>
      <c r="K27" s="2"/>
      <c r="L27" s="2" t="s">
        <v>19120</v>
      </c>
      <c r="M27" s="2" t="s">
        <v>9</v>
      </c>
      <c r="N27" s="2" t="s">
        <v>1661</v>
      </c>
      <c r="O27" s="2" t="s">
        <v>816</v>
      </c>
      <c r="P27" s="2" t="s">
        <v>2710</v>
      </c>
    </row>
    <row r="28" spans="1:16" ht="13.2" customHeight="1" x14ac:dyDescent="0.25">
      <c r="A28" s="2">
        <v>26</v>
      </c>
      <c r="B28" s="2" t="s">
        <v>19245</v>
      </c>
      <c r="C28" s="2"/>
      <c r="D28" s="2" t="s">
        <v>19246</v>
      </c>
      <c r="E28" s="2" t="s">
        <v>19192</v>
      </c>
      <c r="F28" s="2" t="s">
        <v>19193</v>
      </c>
      <c r="G28" s="2" t="s">
        <v>19194</v>
      </c>
      <c r="H28" s="2" t="s">
        <v>19195</v>
      </c>
      <c r="I28" s="2">
        <v>1</v>
      </c>
      <c r="J28" s="2" t="s">
        <v>19247</v>
      </c>
      <c r="K28" s="2"/>
      <c r="L28" s="2" t="s">
        <v>19177</v>
      </c>
      <c r="M28" s="2" t="s">
        <v>9</v>
      </c>
      <c r="N28" s="2" t="s">
        <v>2590</v>
      </c>
      <c r="O28" s="2" t="s">
        <v>816</v>
      </c>
      <c r="P28" s="2" t="s">
        <v>2710</v>
      </c>
    </row>
    <row r="29" spans="1:16" ht="13.2" customHeight="1" x14ac:dyDescent="0.25">
      <c r="A29" s="2">
        <v>27</v>
      </c>
      <c r="B29" s="2" t="s">
        <v>19248</v>
      </c>
      <c r="C29" s="2"/>
      <c r="D29" s="2" t="s">
        <v>19194</v>
      </c>
      <c r="E29" s="2" t="s">
        <v>19195</v>
      </c>
      <c r="F29" s="2" t="s">
        <v>19196</v>
      </c>
      <c r="G29" s="2" t="s">
        <v>19200</v>
      </c>
      <c r="H29" s="2" t="s">
        <v>19201</v>
      </c>
      <c r="I29" s="2">
        <v>1</v>
      </c>
      <c r="J29" s="2" t="s">
        <v>19214</v>
      </c>
      <c r="K29" s="2"/>
      <c r="L29" s="2" t="s">
        <v>19177</v>
      </c>
      <c r="M29" s="2" t="s">
        <v>9</v>
      </c>
      <c r="N29" s="2" t="s">
        <v>5060</v>
      </c>
      <c r="O29" s="2" t="s">
        <v>816</v>
      </c>
      <c r="P29" s="2" t="s">
        <v>2710</v>
      </c>
    </row>
    <row r="30" spans="1:16" ht="13.2" customHeight="1" x14ac:dyDescent="0.25">
      <c r="A30" s="2">
        <v>28</v>
      </c>
      <c r="B30" s="2" t="s">
        <v>19249</v>
      </c>
      <c r="C30" s="2"/>
      <c r="D30" s="2" t="s">
        <v>19200</v>
      </c>
      <c r="E30" s="2" t="s">
        <v>19201</v>
      </c>
      <c r="F30" s="2" t="s">
        <v>19202</v>
      </c>
      <c r="G30" s="2" t="s">
        <v>19216</v>
      </c>
      <c r="H30" s="2" t="s">
        <v>19211</v>
      </c>
      <c r="I30" s="2">
        <v>1</v>
      </c>
      <c r="J30" s="2" t="s">
        <v>19217</v>
      </c>
      <c r="K30" s="2"/>
      <c r="L30" s="2" t="s">
        <v>19177</v>
      </c>
      <c r="M30" s="2" t="s">
        <v>9</v>
      </c>
      <c r="N30" s="2" t="s">
        <v>2563</v>
      </c>
      <c r="O30" s="2" t="s">
        <v>816</v>
      </c>
      <c r="P30" s="2" t="s">
        <v>2710</v>
      </c>
    </row>
    <row r="31" spans="1:16" ht="13.2" customHeight="1" x14ac:dyDescent="0.25">
      <c r="A31" s="2">
        <v>29</v>
      </c>
      <c r="B31" s="2" t="s">
        <v>19250</v>
      </c>
      <c r="C31" s="2"/>
      <c r="D31" s="2" t="s">
        <v>19216</v>
      </c>
      <c r="E31" s="2" t="s">
        <v>19211</v>
      </c>
      <c r="F31" s="2" t="s">
        <v>19192</v>
      </c>
      <c r="G31" s="2" t="s">
        <v>19193</v>
      </c>
      <c r="H31" s="2" t="s">
        <v>19194</v>
      </c>
      <c r="I31" s="2">
        <v>1</v>
      </c>
      <c r="J31" s="2" t="s">
        <v>19219</v>
      </c>
      <c r="K31" s="2"/>
      <c r="L31" s="2" t="s">
        <v>19177</v>
      </c>
      <c r="M31" s="2" t="s">
        <v>9</v>
      </c>
      <c r="N31" s="2" t="s">
        <v>3754</v>
      </c>
      <c r="O31" s="2" t="s">
        <v>816</v>
      </c>
      <c r="P31" s="2" t="s">
        <v>2710</v>
      </c>
    </row>
    <row r="32" spans="1:16" ht="13.2" customHeight="1" x14ac:dyDescent="0.25">
      <c r="A32" s="2">
        <v>30</v>
      </c>
      <c r="B32" s="2" t="s">
        <v>19251</v>
      </c>
      <c r="C32" s="2"/>
      <c r="D32" s="2" t="s">
        <v>19193</v>
      </c>
      <c r="E32" s="2" t="s">
        <v>19194</v>
      </c>
      <c r="F32" s="2" t="s">
        <v>19195</v>
      </c>
      <c r="G32" s="2" t="s">
        <v>19196</v>
      </c>
      <c r="H32" s="2" t="s">
        <v>19200</v>
      </c>
      <c r="I32" s="2">
        <v>1</v>
      </c>
      <c r="J32" s="2" t="s">
        <v>19221</v>
      </c>
      <c r="K32" s="2"/>
      <c r="L32" s="2" t="s">
        <v>19177</v>
      </c>
      <c r="M32" s="2" t="s">
        <v>9</v>
      </c>
      <c r="N32" s="2" t="s">
        <v>2575</v>
      </c>
      <c r="O32" s="2" t="s">
        <v>816</v>
      </c>
      <c r="P32" s="2" t="s">
        <v>2710</v>
      </c>
    </row>
    <row r="33" spans="1:16" ht="13.2" customHeight="1" x14ac:dyDescent="0.25">
      <c r="A33" s="2">
        <v>31</v>
      </c>
      <c r="B33" s="2" t="s">
        <v>19252</v>
      </c>
      <c r="C33" s="2"/>
      <c r="D33" s="2" t="s">
        <v>19196</v>
      </c>
      <c r="E33" s="2" t="s">
        <v>19200</v>
      </c>
      <c r="F33" s="2" t="s">
        <v>19201</v>
      </c>
      <c r="G33" s="2" t="s">
        <v>19202</v>
      </c>
      <c r="H33" s="2" t="s">
        <v>19216</v>
      </c>
      <c r="I33" s="2">
        <v>3</v>
      </c>
      <c r="J33" s="2" t="s">
        <v>19253</v>
      </c>
      <c r="K33" s="2"/>
      <c r="L33" s="2" t="s">
        <v>19177</v>
      </c>
      <c r="M33" s="2" t="s">
        <v>9</v>
      </c>
      <c r="N33" s="2" t="s">
        <v>3864</v>
      </c>
      <c r="O33" s="2" t="s">
        <v>816</v>
      </c>
      <c r="P33" s="2" t="s">
        <v>2710</v>
      </c>
    </row>
    <row r="34" spans="1:16" ht="13.2" customHeight="1" x14ac:dyDescent="0.25">
      <c r="A34" s="2">
        <v>32</v>
      </c>
      <c r="B34" s="2" t="s">
        <v>19254</v>
      </c>
      <c r="C34" s="2"/>
      <c r="D34" s="2" t="s">
        <v>19202</v>
      </c>
      <c r="E34" s="2" t="s">
        <v>19216</v>
      </c>
      <c r="F34" s="2" t="s">
        <v>19211</v>
      </c>
      <c r="G34" s="2" t="s">
        <v>19192</v>
      </c>
      <c r="H34" s="2" t="s">
        <v>19193</v>
      </c>
      <c r="I34" s="2">
        <v>2</v>
      </c>
      <c r="J34" s="2" t="s">
        <v>19255</v>
      </c>
      <c r="K34" s="2"/>
      <c r="L34" s="2" t="s">
        <v>19177</v>
      </c>
      <c r="M34" s="2" t="s">
        <v>9</v>
      </c>
      <c r="N34" s="2" t="s">
        <v>1646</v>
      </c>
      <c r="O34" s="2" t="s">
        <v>816</v>
      </c>
      <c r="P34" s="2" t="s">
        <v>2710</v>
      </c>
    </row>
    <row r="35" spans="1:16" ht="13.2" customHeight="1" x14ac:dyDescent="0.25">
      <c r="A35" s="2">
        <v>33</v>
      </c>
      <c r="B35" s="2" t="s">
        <v>19256</v>
      </c>
      <c r="C35" s="2"/>
      <c r="D35" s="2" t="s">
        <v>19192</v>
      </c>
      <c r="E35" s="2" t="s">
        <v>19193</v>
      </c>
      <c r="F35" s="2" t="s">
        <v>19194</v>
      </c>
      <c r="G35" s="2" t="s">
        <v>19195</v>
      </c>
      <c r="H35" s="2" t="s">
        <v>19196</v>
      </c>
      <c r="I35" s="2">
        <v>1</v>
      </c>
      <c r="J35" s="2" t="s">
        <v>19197</v>
      </c>
      <c r="K35" s="2"/>
      <c r="L35" s="2" t="s">
        <v>19177</v>
      </c>
      <c r="M35" s="2" t="s">
        <v>9</v>
      </c>
      <c r="N35" s="2" t="s">
        <v>3900</v>
      </c>
      <c r="O35" s="2" t="s">
        <v>816</v>
      </c>
      <c r="P35" s="2" t="s">
        <v>2711</v>
      </c>
    </row>
    <row r="36" spans="1:16" ht="13.2" customHeight="1" x14ac:dyDescent="0.25">
      <c r="A36" s="2">
        <v>34</v>
      </c>
      <c r="B36" s="2" t="s">
        <v>19257</v>
      </c>
      <c r="C36" s="2"/>
      <c r="D36" s="2" t="s">
        <v>19195</v>
      </c>
      <c r="E36" s="2" t="s">
        <v>19196</v>
      </c>
      <c r="F36" s="2" t="s">
        <v>19200</v>
      </c>
      <c r="G36" s="2" t="s">
        <v>19201</v>
      </c>
      <c r="H36" s="2" t="s">
        <v>19202</v>
      </c>
      <c r="I36" s="2">
        <v>1</v>
      </c>
      <c r="J36" s="2" t="s">
        <v>19258</v>
      </c>
      <c r="K36" s="2"/>
      <c r="L36" s="2" t="s">
        <v>19177</v>
      </c>
      <c r="M36" s="2" t="s">
        <v>9</v>
      </c>
      <c r="N36" s="2" t="s">
        <v>3936</v>
      </c>
      <c r="O36" s="2" t="s">
        <v>816</v>
      </c>
      <c r="P36" s="2" t="s">
        <v>2711</v>
      </c>
    </row>
    <row r="37" spans="1:16" ht="13.2" customHeight="1" x14ac:dyDescent="0.25">
      <c r="A37" s="2">
        <v>35</v>
      </c>
      <c r="B37" s="2" t="s">
        <v>16617</v>
      </c>
      <c r="C37" s="2"/>
      <c r="D37" s="2" t="s">
        <v>19201</v>
      </c>
      <c r="E37" s="2" t="s">
        <v>19202</v>
      </c>
      <c r="F37" s="2" t="s">
        <v>19216</v>
      </c>
      <c r="G37" s="2" t="s">
        <v>19211</v>
      </c>
      <c r="H37" s="2" t="s">
        <v>19192</v>
      </c>
      <c r="I37" s="2">
        <v>1</v>
      </c>
      <c r="J37" s="2" t="s">
        <v>19259</v>
      </c>
      <c r="K37" s="2"/>
      <c r="L37" s="2" t="s">
        <v>19177</v>
      </c>
      <c r="M37" s="2" t="s">
        <v>9</v>
      </c>
      <c r="N37" s="2" t="s">
        <v>1669</v>
      </c>
      <c r="O37" s="2" t="s">
        <v>816</v>
      </c>
      <c r="P37" s="2" t="s">
        <v>2711</v>
      </c>
    </row>
    <row r="38" spans="1:16" ht="13.2" customHeight="1" x14ac:dyDescent="0.25">
      <c r="A38" s="2">
        <v>36</v>
      </c>
      <c r="B38" s="2" t="s">
        <v>19260</v>
      </c>
      <c r="C38" s="2"/>
      <c r="D38" s="2" t="s">
        <v>19211</v>
      </c>
      <c r="E38" s="2" t="s">
        <v>19192</v>
      </c>
      <c r="F38" s="2" t="s">
        <v>19193</v>
      </c>
      <c r="G38" s="2" t="s">
        <v>19194</v>
      </c>
      <c r="H38" s="2" t="s">
        <v>19195</v>
      </c>
      <c r="I38" s="2">
        <v>5</v>
      </c>
      <c r="J38" s="2" t="s">
        <v>19261</v>
      </c>
      <c r="K38" s="2"/>
      <c r="L38" s="2" t="s">
        <v>19129</v>
      </c>
      <c r="M38" s="2" t="s">
        <v>9</v>
      </c>
      <c r="N38" s="2" t="s">
        <v>1669</v>
      </c>
      <c r="O38" s="2" t="s">
        <v>816</v>
      </c>
      <c r="P38" s="2" t="s">
        <v>2711</v>
      </c>
    </row>
    <row r="39" spans="1:16" ht="13.2" customHeight="1" x14ac:dyDescent="0.25">
      <c r="A39" s="2">
        <v>37</v>
      </c>
      <c r="B39" s="2" t="s">
        <v>19262</v>
      </c>
      <c r="C39" s="2"/>
      <c r="D39" s="2" t="s">
        <v>19194</v>
      </c>
      <c r="E39" s="2" t="s">
        <v>19195</v>
      </c>
      <c r="F39" s="2" t="s">
        <v>19196</v>
      </c>
      <c r="G39" s="2" t="s">
        <v>19200</v>
      </c>
      <c r="H39" s="2" t="s">
        <v>19201</v>
      </c>
      <c r="I39" s="2">
        <v>1</v>
      </c>
      <c r="J39" s="2" t="s">
        <v>19214</v>
      </c>
      <c r="K39" s="2"/>
      <c r="L39" s="2" t="s">
        <v>19177</v>
      </c>
      <c r="M39" s="2" t="s">
        <v>9</v>
      </c>
      <c r="N39" s="2" t="s">
        <v>1669</v>
      </c>
      <c r="O39" s="2" t="s">
        <v>816</v>
      </c>
      <c r="P39" s="2" t="s">
        <v>2711</v>
      </c>
    </row>
    <row r="40" spans="1:16" ht="13.2" customHeight="1" x14ac:dyDescent="0.25">
      <c r="A40" s="2">
        <v>38</v>
      </c>
      <c r="B40" s="2" t="s">
        <v>19263</v>
      </c>
      <c r="C40" s="2"/>
      <c r="D40" s="2" t="s">
        <v>19200</v>
      </c>
      <c r="E40" s="2" t="s">
        <v>19201</v>
      </c>
      <c r="F40" s="2" t="s">
        <v>19202</v>
      </c>
      <c r="G40" s="2" t="s">
        <v>19216</v>
      </c>
      <c r="H40" s="2" t="s">
        <v>19211</v>
      </c>
      <c r="I40" s="2">
        <v>1</v>
      </c>
      <c r="J40" s="2" t="s">
        <v>19217</v>
      </c>
      <c r="K40" s="2"/>
      <c r="L40" s="2" t="s">
        <v>19177</v>
      </c>
      <c r="M40" s="2" t="s">
        <v>9</v>
      </c>
      <c r="N40" s="2" t="s">
        <v>13839</v>
      </c>
      <c r="O40" s="2" t="s">
        <v>816</v>
      </c>
      <c r="P40" s="2" t="s">
        <v>2711</v>
      </c>
    </row>
    <row r="41" spans="1:16" ht="13.2" customHeight="1" x14ac:dyDescent="0.25">
      <c r="A41" s="2">
        <v>39</v>
      </c>
      <c r="B41" s="2" t="s">
        <v>19264</v>
      </c>
      <c r="C41" s="2"/>
      <c r="D41" s="2" t="s">
        <v>19216</v>
      </c>
      <c r="E41" s="2" t="s">
        <v>19211</v>
      </c>
      <c r="F41" s="2" t="s">
        <v>19192</v>
      </c>
      <c r="G41" s="2" t="s">
        <v>19193</v>
      </c>
      <c r="H41" s="2" t="s">
        <v>19194</v>
      </c>
      <c r="I41" s="2">
        <v>1</v>
      </c>
      <c r="J41" s="2" t="s">
        <v>19219</v>
      </c>
      <c r="K41" s="2"/>
      <c r="L41" s="2" t="s">
        <v>19177</v>
      </c>
      <c r="M41" s="2" t="s">
        <v>9</v>
      </c>
      <c r="N41" s="2" t="s">
        <v>2655</v>
      </c>
      <c r="O41" s="2" t="s">
        <v>816</v>
      </c>
      <c r="P41" s="2" t="s">
        <v>2711</v>
      </c>
    </row>
    <row r="42" spans="1:16" ht="13.2" customHeight="1" x14ac:dyDescent="0.25">
      <c r="A42" s="2">
        <v>40</v>
      </c>
      <c r="B42" s="2" t="s">
        <v>19265</v>
      </c>
      <c r="C42" s="2"/>
      <c r="D42" s="2" t="s">
        <v>19266</v>
      </c>
      <c r="E42" s="2" t="s">
        <v>19194</v>
      </c>
      <c r="F42" s="2" t="s">
        <v>19195</v>
      </c>
      <c r="G42" s="2" t="s">
        <v>19196</v>
      </c>
      <c r="H42" s="2" t="s">
        <v>19200</v>
      </c>
      <c r="I42" s="2">
        <v>4</v>
      </c>
      <c r="J42" s="2" t="s">
        <v>19267</v>
      </c>
      <c r="K42" s="2"/>
      <c r="L42" s="2" t="s">
        <v>19177</v>
      </c>
      <c r="M42" s="2" t="s">
        <v>9</v>
      </c>
      <c r="N42" s="2" t="s">
        <v>1669</v>
      </c>
      <c r="O42" s="2" t="s">
        <v>816</v>
      </c>
      <c r="P42" s="2" t="s">
        <v>2711</v>
      </c>
    </row>
    <row r="43" spans="1:16" ht="13.2" customHeight="1" x14ac:dyDescent="0.25">
      <c r="A43" s="2">
        <v>41</v>
      </c>
      <c r="B43" s="2" t="s">
        <v>19268</v>
      </c>
      <c r="C43" s="2"/>
      <c r="D43" s="2" t="s">
        <v>19196</v>
      </c>
      <c r="E43" s="2" t="s">
        <v>19200</v>
      </c>
      <c r="F43" s="2" t="s">
        <v>19201</v>
      </c>
      <c r="G43" s="2" t="s">
        <v>19202</v>
      </c>
      <c r="H43" s="2" t="s">
        <v>19216</v>
      </c>
      <c r="I43" s="2">
        <v>1</v>
      </c>
      <c r="J43" s="2" t="s">
        <v>19269</v>
      </c>
      <c r="K43" s="2"/>
      <c r="L43" s="2" t="s">
        <v>19177</v>
      </c>
      <c r="M43" s="2" t="s">
        <v>9</v>
      </c>
      <c r="N43" s="2" t="s">
        <v>1669</v>
      </c>
      <c r="O43" s="2" t="s">
        <v>816</v>
      </c>
      <c r="P43" s="2" t="s">
        <v>2711</v>
      </c>
    </row>
    <row r="44" spans="1:16" ht="13.2" customHeight="1" x14ac:dyDescent="0.25">
      <c r="A44" s="2">
        <v>42</v>
      </c>
      <c r="B44" s="2" t="s">
        <v>19270</v>
      </c>
      <c r="C44" s="2"/>
      <c r="D44" s="2" t="s">
        <v>19202</v>
      </c>
      <c r="E44" s="2" t="s">
        <v>19216</v>
      </c>
      <c r="F44" s="2" t="s">
        <v>19211</v>
      </c>
      <c r="G44" s="2" t="s">
        <v>19192</v>
      </c>
      <c r="H44" s="2" t="s">
        <v>19193</v>
      </c>
      <c r="I44" s="2">
        <v>1</v>
      </c>
      <c r="J44" s="2" t="s">
        <v>19271</v>
      </c>
      <c r="K44" s="2"/>
      <c r="L44" s="2" t="s">
        <v>19114</v>
      </c>
      <c r="M44" s="2" t="s">
        <v>9</v>
      </c>
      <c r="N44" s="2" t="s">
        <v>2655</v>
      </c>
      <c r="O44" s="2" t="s">
        <v>816</v>
      </c>
      <c r="P44" s="2" t="s">
        <v>2711</v>
      </c>
    </row>
    <row r="45" spans="1:16" ht="13.2" customHeight="1" x14ac:dyDescent="0.25">
      <c r="A45" s="2">
        <v>43</v>
      </c>
      <c r="B45" s="2" t="s">
        <v>19272</v>
      </c>
      <c r="C45" s="2"/>
      <c r="D45" s="2" t="s">
        <v>19192</v>
      </c>
      <c r="E45" s="2" t="s">
        <v>19193</v>
      </c>
      <c r="F45" s="2" t="s">
        <v>19194</v>
      </c>
      <c r="G45" s="2" t="s">
        <v>19195</v>
      </c>
      <c r="H45" s="2" t="s">
        <v>19196</v>
      </c>
      <c r="I45" s="2">
        <v>5</v>
      </c>
      <c r="J45" s="2" t="s">
        <v>19273</v>
      </c>
      <c r="K45" s="2"/>
      <c r="L45" s="2" t="s">
        <v>19114</v>
      </c>
      <c r="M45" s="2" t="s">
        <v>9</v>
      </c>
      <c r="N45" s="2" t="s">
        <v>1669</v>
      </c>
      <c r="O45" s="2" t="s">
        <v>816</v>
      </c>
      <c r="P45" s="2" t="s">
        <v>2711</v>
      </c>
    </row>
    <row r="46" spans="1:16" ht="13.2" customHeight="1" x14ac:dyDescent="0.25">
      <c r="A46" s="2">
        <v>44</v>
      </c>
      <c r="B46" s="2" t="s">
        <v>19274</v>
      </c>
      <c r="C46" s="2"/>
      <c r="D46" s="2" t="s">
        <v>19195</v>
      </c>
      <c r="E46" s="2" t="s">
        <v>19196</v>
      </c>
      <c r="F46" s="2" t="s">
        <v>19200</v>
      </c>
      <c r="G46" s="2" t="s">
        <v>19201</v>
      </c>
      <c r="H46" s="2" t="s">
        <v>19202</v>
      </c>
      <c r="I46" s="2">
        <v>1</v>
      </c>
      <c r="J46" s="2" t="s">
        <v>19275</v>
      </c>
      <c r="K46" s="2"/>
      <c r="L46" s="2" t="s">
        <v>19120</v>
      </c>
      <c r="M46" s="2" t="s">
        <v>9</v>
      </c>
      <c r="N46" s="2" t="s">
        <v>3887</v>
      </c>
      <c r="O46" s="2" t="s">
        <v>816</v>
      </c>
      <c r="P46" s="2" t="s">
        <v>2711</v>
      </c>
    </row>
    <row r="47" spans="1:16" ht="13.2" customHeight="1" x14ac:dyDescent="0.25">
      <c r="A47" s="2">
        <v>45</v>
      </c>
      <c r="B47" s="2" t="s">
        <v>19276</v>
      </c>
      <c r="C47" s="2"/>
      <c r="D47" s="2" t="s">
        <v>19201</v>
      </c>
      <c r="E47" s="2" t="s">
        <v>19202</v>
      </c>
      <c r="F47" s="2" t="s">
        <v>19216</v>
      </c>
      <c r="G47" s="2" t="s">
        <v>19211</v>
      </c>
      <c r="H47" s="2" t="s">
        <v>19192</v>
      </c>
      <c r="I47" s="2">
        <v>1</v>
      </c>
      <c r="J47" s="2" t="s">
        <v>19259</v>
      </c>
      <c r="K47" s="2"/>
      <c r="L47" s="2" t="s">
        <v>19177</v>
      </c>
      <c r="M47" s="2" t="s">
        <v>9</v>
      </c>
      <c r="N47" s="2" t="s">
        <v>2655</v>
      </c>
      <c r="O47" s="2" t="s">
        <v>816</v>
      </c>
      <c r="P47" s="2" t="s">
        <v>2711</v>
      </c>
    </row>
    <row r="48" spans="1:16" ht="13.2" customHeight="1" x14ac:dyDescent="0.25">
      <c r="A48" s="2">
        <v>46</v>
      </c>
      <c r="B48" s="2" t="s">
        <v>19277</v>
      </c>
      <c r="C48" s="2"/>
      <c r="D48" s="2" t="s">
        <v>19211</v>
      </c>
      <c r="E48" s="2" t="s">
        <v>19192</v>
      </c>
      <c r="F48" s="2" t="s">
        <v>19193</v>
      </c>
      <c r="G48" s="2" t="s">
        <v>19194</v>
      </c>
      <c r="H48" s="2" t="s">
        <v>19195</v>
      </c>
      <c r="I48" s="2">
        <v>2</v>
      </c>
      <c r="J48" s="2" t="s">
        <v>19278</v>
      </c>
      <c r="K48" s="2"/>
      <c r="L48" s="2" t="s">
        <v>19114</v>
      </c>
      <c r="M48" s="2" t="s">
        <v>9</v>
      </c>
      <c r="N48" s="2" t="s">
        <v>1669</v>
      </c>
      <c r="O48" s="2" t="s">
        <v>816</v>
      </c>
      <c r="P48" s="2" t="s">
        <v>2711</v>
      </c>
    </row>
    <row r="49" spans="1:16" ht="13.2" customHeight="1" x14ac:dyDescent="0.25">
      <c r="A49" s="2">
        <v>47</v>
      </c>
      <c r="B49" s="2" t="s">
        <v>19279</v>
      </c>
      <c r="C49" s="2"/>
      <c r="D49" s="2" t="s">
        <v>19280</v>
      </c>
      <c r="E49" s="2" t="s">
        <v>19281</v>
      </c>
      <c r="F49" s="2" t="s">
        <v>19282</v>
      </c>
      <c r="G49" s="2" t="s">
        <v>19283</v>
      </c>
      <c r="H49" s="2" t="s">
        <v>19284</v>
      </c>
      <c r="I49" s="8" t="s">
        <v>96</v>
      </c>
      <c r="J49" s="2" t="s">
        <v>19285</v>
      </c>
      <c r="K49" s="2"/>
      <c r="L49" s="2" t="s">
        <v>19286</v>
      </c>
      <c r="M49" s="2" t="s">
        <v>9</v>
      </c>
      <c r="N49" s="2" t="s">
        <v>19287</v>
      </c>
      <c r="O49" s="2" t="s">
        <v>816</v>
      </c>
      <c r="P49" s="2" t="s">
        <v>1849</v>
      </c>
    </row>
    <row r="50" spans="1:16" ht="13.2" customHeight="1" x14ac:dyDescent="0.25">
      <c r="A50" s="2">
        <v>48</v>
      </c>
      <c r="B50" s="2" t="s">
        <v>19288</v>
      </c>
      <c r="C50" s="2"/>
      <c r="D50" s="2" t="s">
        <v>2211</v>
      </c>
      <c r="E50" s="2" t="s">
        <v>6026</v>
      </c>
      <c r="F50" s="2" t="s">
        <v>8706</v>
      </c>
      <c r="G50" s="2" t="s">
        <v>8707</v>
      </c>
      <c r="H50" s="2" t="s">
        <v>15075</v>
      </c>
      <c r="I50" s="8" t="s">
        <v>123</v>
      </c>
      <c r="J50" s="2" t="s">
        <v>19289</v>
      </c>
      <c r="K50" s="2"/>
      <c r="L50" s="2" t="s">
        <v>19286</v>
      </c>
      <c r="M50" s="2" t="s">
        <v>9</v>
      </c>
      <c r="N50" s="2" t="s">
        <v>19290</v>
      </c>
      <c r="O50" s="2" t="s">
        <v>164</v>
      </c>
      <c r="P50" s="2" t="s">
        <v>1865</v>
      </c>
    </row>
    <row r="51" spans="1:16" ht="13.2" customHeight="1" x14ac:dyDescent="0.25">
      <c r="A51" s="2">
        <v>49</v>
      </c>
      <c r="B51" s="2" t="s">
        <v>19291</v>
      </c>
      <c r="C51" s="2"/>
      <c r="D51" s="2" t="s">
        <v>19292</v>
      </c>
      <c r="E51" s="2" t="s">
        <v>19293</v>
      </c>
      <c r="F51" s="2" t="s">
        <v>19294</v>
      </c>
      <c r="G51" s="2" t="s">
        <v>19295</v>
      </c>
      <c r="H51" s="2" t="s">
        <v>19296</v>
      </c>
      <c r="I51" s="8" t="s">
        <v>96</v>
      </c>
      <c r="J51" s="2" t="s">
        <v>19297</v>
      </c>
      <c r="K51" s="2"/>
      <c r="L51" s="2" t="s">
        <v>19286</v>
      </c>
      <c r="M51" s="2" t="s">
        <v>9</v>
      </c>
      <c r="N51" s="2" t="s">
        <v>19154</v>
      </c>
      <c r="O51" s="2" t="s">
        <v>164</v>
      </c>
      <c r="P51" s="2" t="s">
        <v>1865</v>
      </c>
    </row>
    <row r="52" spans="1:16" ht="409.6" x14ac:dyDescent="0.25">
      <c r="A52" s="35">
        <v>50</v>
      </c>
      <c r="B52" s="34" t="s">
        <v>19298</v>
      </c>
      <c r="C52" s="35"/>
      <c r="D52" s="34" t="s">
        <v>19118</v>
      </c>
      <c r="E52" s="34" t="s">
        <v>4730</v>
      </c>
      <c r="F52" s="34" t="s">
        <v>3182</v>
      </c>
      <c r="G52" s="34" t="s">
        <v>19299</v>
      </c>
      <c r="H52" s="34"/>
      <c r="I52" s="35">
        <v>2</v>
      </c>
      <c r="J52" s="34" t="s">
        <v>19300</v>
      </c>
      <c r="K52" s="35"/>
      <c r="L52" s="34" t="s">
        <v>19301</v>
      </c>
      <c r="M52" s="35" t="s">
        <v>9</v>
      </c>
      <c r="N52" s="34" t="s">
        <v>19302</v>
      </c>
      <c r="O52" s="35" t="s">
        <v>164</v>
      </c>
      <c r="P52" s="35" t="s">
        <v>2017</v>
      </c>
    </row>
    <row r="53" spans="1:16" ht="409.6" x14ac:dyDescent="0.25">
      <c r="A53" s="35">
        <v>51</v>
      </c>
      <c r="B53" s="34" t="s">
        <v>19303</v>
      </c>
      <c r="C53" s="35"/>
      <c r="D53" s="34" t="s">
        <v>19304</v>
      </c>
      <c r="E53" s="34" t="s">
        <v>19305</v>
      </c>
      <c r="F53" s="34" t="s">
        <v>19306</v>
      </c>
      <c r="G53" s="34" t="s">
        <v>19307</v>
      </c>
      <c r="H53" s="34"/>
      <c r="I53" s="35">
        <v>1</v>
      </c>
      <c r="J53" s="34" t="s">
        <v>19308</v>
      </c>
      <c r="K53" s="35"/>
      <c r="L53" s="34" t="s">
        <v>19301</v>
      </c>
      <c r="M53" s="35" t="s">
        <v>9</v>
      </c>
      <c r="N53" s="34" t="s">
        <v>19309</v>
      </c>
      <c r="O53" s="35" t="s">
        <v>164</v>
      </c>
      <c r="P53" s="35" t="s">
        <v>2017</v>
      </c>
    </row>
    <row r="54" spans="1:16" ht="409.6" x14ac:dyDescent="0.25">
      <c r="A54" s="35">
        <v>52</v>
      </c>
      <c r="B54" s="34" t="s">
        <v>19310</v>
      </c>
      <c r="C54" s="35"/>
      <c r="D54" s="34" t="s">
        <v>19311</v>
      </c>
      <c r="E54" s="34" t="s">
        <v>19312</v>
      </c>
      <c r="F54" s="34" t="s">
        <v>19313</v>
      </c>
      <c r="G54" s="34" t="s">
        <v>19314</v>
      </c>
      <c r="H54" s="34"/>
      <c r="I54" s="35">
        <v>1</v>
      </c>
      <c r="J54" s="34" t="s">
        <v>19315</v>
      </c>
      <c r="K54" s="35"/>
      <c r="L54" s="34" t="s">
        <v>19301</v>
      </c>
      <c r="M54" s="35" t="s">
        <v>9</v>
      </c>
      <c r="N54" s="34" t="s">
        <v>19316</v>
      </c>
      <c r="O54" s="35" t="s">
        <v>164</v>
      </c>
      <c r="P54" s="35" t="s">
        <v>2017</v>
      </c>
    </row>
    <row r="55" spans="1:16" ht="409.6" x14ac:dyDescent="0.25">
      <c r="A55" s="35">
        <v>53</v>
      </c>
      <c r="B55" s="34" t="s">
        <v>19317</v>
      </c>
      <c r="C55" s="35"/>
      <c r="D55" s="34" t="s">
        <v>19108</v>
      </c>
      <c r="E55" s="34" t="s">
        <v>19186</v>
      </c>
      <c r="F55" s="34" t="s">
        <v>19318</v>
      </c>
      <c r="G55" s="34" t="s">
        <v>19319</v>
      </c>
      <c r="H55" s="34" t="s">
        <v>19320</v>
      </c>
      <c r="I55" s="35">
        <v>1</v>
      </c>
      <c r="J55" s="34" t="s">
        <v>19321</v>
      </c>
      <c r="K55" s="35"/>
      <c r="L55" s="34" t="s">
        <v>19301</v>
      </c>
      <c r="M55" s="35" t="s">
        <v>9</v>
      </c>
      <c r="N55" s="34" t="s">
        <v>19322</v>
      </c>
      <c r="O55" s="35" t="s">
        <v>164</v>
      </c>
      <c r="P55" s="35" t="s">
        <v>2109</v>
      </c>
    </row>
    <row r="56" spans="1:16" ht="409.6" x14ac:dyDescent="0.25">
      <c r="A56" s="35">
        <v>54</v>
      </c>
      <c r="B56" s="34" t="s">
        <v>19323</v>
      </c>
      <c r="C56" s="35"/>
      <c r="D56" s="34" t="s">
        <v>19324</v>
      </c>
      <c r="E56" s="34" t="s">
        <v>19325</v>
      </c>
      <c r="F56" s="34" t="s">
        <v>19326</v>
      </c>
      <c r="G56" s="34" t="s">
        <v>19327</v>
      </c>
      <c r="H56" s="34" t="s">
        <v>19328</v>
      </c>
      <c r="I56" s="35">
        <v>1</v>
      </c>
      <c r="J56" s="34" t="s">
        <v>19329</v>
      </c>
      <c r="K56" s="35"/>
      <c r="L56" s="34" t="s">
        <v>19301</v>
      </c>
      <c r="M56" s="35" t="s">
        <v>9</v>
      </c>
      <c r="N56" s="34" t="s">
        <v>19330</v>
      </c>
      <c r="O56" s="35" t="s">
        <v>164</v>
      </c>
      <c r="P56" s="35" t="s">
        <v>2109</v>
      </c>
    </row>
    <row r="57" spans="1:16" ht="409.6" x14ac:dyDescent="0.25">
      <c r="A57" s="35">
        <v>55</v>
      </c>
      <c r="B57" s="34" t="s">
        <v>19331</v>
      </c>
      <c r="C57" s="35" t="s">
        <v>19332</v>
      </c>
      <c r="D57" s="34" t="s">
        <v>19333</v>
      </c>
      <c r="E57" s="34" t="s">
        <v>19334</v>
      </c>
      <c r="F57" s="34" t="s">
        <v>19335</v>
      </c>
      <c r="G57" s="34" t="s">
        <v>19336</v>
      </c>
      <c r="H57" s="34" t="s">
        <v>19337</v>
      </c>
      <c r="I57" s="35">
        <v>5</v>
      </c>
      <c r="J57" s="34" t="s">
        <v>19338</v>
      </c>
      <c r="K57" s="35"/>
      <c r="L57" s="34" t="s">
        <v>19301</v>
      </c>
      <c r="M57" s="35" t="s">
        <v>9</v>
      </c>
      <c r="N57" s="34" t="s">
        <v>19330</v>
      </c>
      <c r="O57" s="35" t="s">
        <v>164</v>
      </c>
      <c r="P57" s="35" t="s">
        <v>2109</v>
      </c>
    </row>
    <row r="58" spans="1:16" ht="409.6" x14ac:dyDescent="0.25">
      <c r="A58" s="35">
        <v>56</v>
      </c>
      <c r="B58" s="34" t="s">
        <v>19339</v>
      </c>
      <c r="C58" s="35"/>
      <c r="D58" s="34" t="s">
        <v>19340</v>
      </c>
      <c r="E58" s="34" t="s">
        <v>19341</v>
      </c>
      <c r="F58" s="34" t="s">
        <v>19342</v>
      </c>
      <c r="G58" s="34" t="s">
        <v>19343</v>
      </c>
      <c r="H58" s="34"/>
      <c r="I58" s="35">
        <v>1</v>
      </c>
      <c r="J58" s="34" t="s">
        <v>19344</v>
      </c>
      <c r="K58" s="35"/>
      <c r="L58" s="34" t="s">
        <v>19301</v>
      </c>
      <c r="M58" s="35" t="s">
        <v>9</v>
      </c>
      <c r="N58" s="34" t="s">
        <v>19345</v>
      </c>
      <c r="O58" s="35" t="s">
        <v>164</v>
      </c>
      <c r="P58" s="35" t="s">
        <v>2155</v>
      </c>
    </row>
    <row r="59" spans="1:16" ht="409.6" x14ac:dyDescent="0.25">
      <c r="A59" s="35">
        <v>57</v>
      </c>
      <c r="B59" s="34" t="s">
        <v>19346</v>
      </c>
      <c r="C59" s="35"/>
      <c r="D59" s="34" t="s">
        <v>3524</v>
      </c>
      <c r="E59" s="34" t="s">
        <v>19347</v>
      </c>
      <c r="F59" s="34" t="s">
        <v>4730</v>
      </c>
      <c r="G59" s="34" t="s">
        <v>16101</v>
      </c>
      <c r="H59" s="34" t="s">
        <v>19348</v>
      </c>
      <c r="I59" s="35">
        <v>1</v>
      </c>
      <c r="J59" s="34" t="s">
        <v>19349</v>
      </c>
      <c r="K59" s="35"/>
      <c r="L59" s="34" t="s">
        <v>19301</v>
      </c>
      <c r="M59" s="35" t="s">
        <v>9</v>
      </c>
      <c r="N59" s="34" t="s">
        <v>19350</v>
      </c>
      <c r="O59" s="35" t="s">
        <v>164</v>
      </c>
      <c r="P59" s="35" t="s">
        <v>2155</v>
      </c>
    </row>
    <row r="60" spans="1:16" ht="409.6" x14ac:dyDescent="0.25">
      <c r="A60" s="35">
        <v>58</v>
      </c>
      <c r="B60" s="34" t="s">
        <v>19351</v>
      </c>
      <c r="C60" s="35"/>
      <c r="D60" s="34" t="s">
        <v>19352</v>
      </c>
      <c r="E60" s="34" t="s">
        <v>19353</v>
      </c>
      <c r="F60" s="34" t="s">
        <v>19354</v>
      </c>
      <c r="G60" s="34" t="s">
        <v>19355</v>
      </c>
      <c r="H60" s="34" t="s">
        <v>19356</v>
      </c>
      <c r="I60" s="35">
        <v>1</v>
      </c>
      <c r="J60" s="34" t="s">
        <v>19357</v>
      </c>
      <c r="K60" s="35"/>
      <c r="L60" s="34" t="s">
        <v>19301</v>
      </c>
      <c r="M60" s="35" t="s">
        <v>9</v>
      </c>
      <c r="N60" s="34" t="s">
        <v>19358</v>
      </c>
      <c r="O60" s="35" t="s">
        <v>164</v>
      </c>
      <c r="P60" s="35" t="s">
        <v>2155</v>
      </c>
    </row>
    <row r="61" spans="1:16" ht="409.6" x14ac:dyDescent="0.25">
      <c r="A61" s="35">
        <v>59</v>
      </c>
      <c r="B61" s="34" t="s">
        <v>19359</v>
      </c>
      <c r="C61" s="35"/>
      <c r="D61" s="34" t="s">
        <v>19360</v>
      </c>
      <c r="E61" s="34" t="s">
        <v>19361</v>
      </c>
      <c r="F61" s="34" t="s">
        <v>19362</v>
      </c>
      <c r="G61" s="34" t="s">
        <v>19363</v>
      </c>
      <c r="H61" s="34" t="s">
        <v>19364</v>
      </c>
      <c r="I61" s="35">
        <v>1</v>
      </c>
      <c r="J61" s="34" t="s">
        <v>19365</v>
      </c>
      <c r="K61" s="35"/>
      <c r="L61" s="34" t="s">
        <v>19301</v>
      </c>
      <c r="M61" s="35" t="s">
        <v>9</v>
      </c>
      <c r="N61" s="34" t="s">
        <v>19366</v>
      </c>
      <c r="O61" s="35" t="s">
        <v>164</v>
      </c>
      <c r="P61" s="35" t="s">
        <v>2155</v>
      </c>
    </row>
    <row r="62" spans="1:16" ht="409.6" x14ac:dyDescent="0.25">
      <c r="A62" s="35">
        <v>60</v>
      </c>
      <c r="B62" s="34" t="s">
        <v>19367</v>
      </c>
      <c r="C62" s="35"/>
      <c r="D62" s="34" t="s">
        <v>19368</v>
      </c>
      <c r="E62" s="34" t="s">
        <v>8961</v>
      </c>
      <c r="F62" s="34" t="s">
        <v>19369</v>
      </c>
      <c r="G62" s="34" t="s">
        <v>19370</v>
      </c>
      <c r="H62" s="34" t="s">
        <v>19371</v>
      </c>
      <c r="I62" s="35">
        <v>1</v>
      </c>
      <c r="J62" s="34" t="s">
        <v>19372</v>
      </c>
      <c r="K62" s="35"/>
      <c r="L62" s="34" t="s">
        <v>19301</v>
      </c>
      <c r="M62" s="35" t="s">
        <v>9</v>
      </c>
      <c r="N62" s="34" t="s">
        <v>19373</v>
      </c>
      <c r="O62" s="35" t="s">
        <v>164</v>
      </c>
      <c r="P62" s="35" t="s">
        <v>2155</v>
      </c>
    </row>
    <row r="63" spans="1:16" ht="409.6" x14ac:dyDescent="0.25">
      <c r="A63" s="35">
        <v>61</v>
      </c>
      <c r="B63" s="34" t="s">
        <v>19374</v>
      </c>
      <c r="C63" s="35"/>
      <c r="D63" s="34" t="s">
        <v>15715</v>
      </c>
      <c r="E63" s="34" t="s">
        <v>8964</v>
      </c>
      <c r="F63" s="34" t="s">
        <v>16159</v>
      </c>
      <c r="G63" s="34" t="s">
        <v>19181</v>
      </c>
      <c r="H63" s="34" t="s">
        <v>19375</v>
      </c>
      <c r="I63" s="35">
        <v>1</v>
      </c>
      <c r="J63" s="34" t="s">
        <v>19376</v>
      </c>
      <c r="K63" s="35"/>
      <c r="L63" s="34" t="s">
        <v>19301</v>
      </c>
      <c r="M63" s="35" t="s">
        <v>9</v>
      </c>
      <c r="N63" s="34" t="s">
        <v>19377</v>
      </c>
      <c r="O63" s="35" t="s">
        <v>164</v>
      </c>
      <c r="P63" s="35" t="s">
        <v>2155</v>
      </c>
    </row>
    <row r="64" spans="1:16" ht="409.6" x14ac:dyDescent="0.25">
      <c r="A64" s="35">
        <v>62</v>
      </c>
      <c r="B64" s="34" t="s">
        <v>19378</v>
      </c>
      <c r="C64" s="35"/>
      <c r="D64" s="34" t="s">
        <v>19379</v>
      </c>
      <c r="E64" s="34" t="s">
        <v>15715</v>
      </c>
      <c r="F64" s="34" t="s">
        <v>19380</v>
      </c>
      <c r="G64" s="34" t="s">
        <v>19381</v>
      </c>
      <c r="H64" s="34" t="s">
        <v>19382</v>
      </c>
      <c r="I64" s="35">
        <v>1</v>
      </c>
      <c r="J64" s="34" t="s">
        <v>19383</v>
      </c>
      <c r="K64" s="35"/>
      <c r="L64" s="34" t="s">
        <v>19301</v>
      </c>
      <c r="M64" s="35" t="s">
        <v>9</v>
      </c>
      <c r="N64" s="34" t="s">
        <v>19384</v>
      </c>
      <c r="O64" s="35" t="s">
        <v>164</v>
      </c>
      <c r="P64" s="35" t="s">
        <v>2155</v>
      </c>
    </row>
    <row r="65" spans="1:16" ht="409.6" x14ac:dyDescent="0.25">
      <c r="A65" s="35">
        <v>63</v>
      </c>
      <c r="B65" s="34" t="s">
        <v>19385</v>
      </c>
      <c r="C65" s="35"/>
      <c r="D65" s="34" t="s">
        <v>8963</v>
      </c>
      <c r="E65" s="34" t="s">
        <v>19370</v>
      </c>
      <c r="F65" s="34" t="s">
        <v>16159</v>
      </c>
      <c r="G65" s="34" t="s">
        <v>19180</v>
      </c>
      <c r="H65" s="34" t="s">
        <v>19386</v>
      </c>
      <c r="I65" s="35">
        <v>1</v>
      </c>
      <c r="J65" s="34" t="s">
        <v>19387</v>
      </c>
      <c r="K65" s="35"/>
      <c r="L65" s="34" t="s">
        <v>19301</v>
      </c>
      <c r="M65" s="35" t="s">
        <v>9</v>
      </c>
      <c r="N65" s="34" t="s">
        <v>19388</v>
      </c>
      <c r="O65" s="35" t="s">
        <v>164</v>
      </c>
      <c r="P65" s="35" t="s">
        <v>2155</v>
      </c>
    </row>
    <row r="66" spans="1:16" ht="409.6" x14ac:dyDescent="0.25">
      <c r="A66" s="35">
        <v>64</v>
      </c>
      <c r="B66" s="34" t="s">
        <v>19389</v>
      </c>
      <c r="C66" s="35"/>
      <c r="D66" s="34" t="s">
        <v>4730</v>
      </c>
      <c r="E66" s="34" t="s">
        <v>19390</v>
      </c>
      <c r="F66" s="34" t="s">
        <v>19391</v>
      </c>
      <c r="G66" s="34" t="s">
        <v>19180</v>
      </c>
      <c r="H66" s="34" t="s">
        <v>19392</v>
      </c>
      <c r="I66" s="35">
        <v>1</v>
      </c>
      <c r="J66" s="34" t="s">
        <v>19393</v>
      </c>
      <c r="K66" s="35"/>
      <c r="L66" s="34" t="s">
        <v>19301</v>
      </c>
      <c r="M66" s="35" t="s">
        <v>9</v>
      </c>
      <c r="N66" s="34" t="s">
        <v>19394</v>
      </c>
      <c r="O66" s="35" t="s">
        <v>164</v>
      </c>
      <c r="P66" s="35" t="s">
        <v>2155</v>
      </c>
    </row>
    <row r="67" spans="1:16" ht="409.6" x14ac:dyDescent="0.25">
      <c r="A67" s="35">
        <v>65</v>
      </c>
      <c r="B67" s="34" t="s">
        <v>19395</v>
      </c>
      <c r="C67" s="35"/>
      <c r="D67" s="34" t="s">
        <v>19396</v>
      </c>
      <c r="E67" s="34" t="s">
        <v>19397</v>
      </c>
      <c r="F67" s="34" t="s">
        <v>19398</v>
      </c>
      <c r="G67" s="34" t="s">
        <v>19399</v>
      </c>
      <c r="H67" s="34" t="s">
        <v>19400</v>
      </c>
      <c r="I67" s="35">
        <v>1</v>
      </c>
      <c r="J67" s="34" t="s">
        <v>19401</v>
      </c>
      <c r="K67" s="35"/>
      <c r="L67" s="34" t="s">
        <v>19301</v>
      </c>
      <c r="M67" s="35" t="s">
        <v>9</v>
      </c>
      <c r="N67" s="34" t="s">
        <v>19402</v>
      </c>
      <c r="O67" s="35" t="s">
        <v>164</v>
      </c>
      <c r="P67" s="35" t="s">
        <v>2155</v>
      </c>
    </row>
    <row r="68" spans="1:16" ht="409.6" x14ac:dyDescent="0.25">
      <c r="A68" s="35">
        <v>66</v>
      </c>
      <c r="B68" s="34" t="s">
        <v>19403</v>
      </c>
      <c r="C68" s="35"/>
      <c r="D68" s="34" t="s">
        <v>16314</v>
      </c>
      <c r="E68" s="34" t="s">
        <v>18131</v>
      </c>
      <c r="F68" s="34" t="s">
        <v>2211</v>
      </c>
      <c r="G68" s="34" t="s">
        <v>19404</v>
      </c>
      <c r="H68" s="34" t="s">
        <v>19405</v>
      </c>
      <c r="I68" s="35">
        <v>1</v>
      </c>
      <c r="J68" s="34" t="s">
        <v>19406</v>
      </c>
      <c r="K68" s="35"/>
      <c r="L68" s="34" t="s">
        <v>19301</v>
      </c>
      <c r="M68" s="35" t="s">
        <v>9</v>
      </c>
      <c r="N68" s="34" t="s">
        <v>19407</v>
      </c>
      <c r="O68" s="35" t="s">
        <v>164</v>
      </c>
      <c r="P68" s="35" t="s">
        <v>2155</v>
      </c>
    </row>
    <row r="69" spans="1:16" ht="409.6" x14ac:dyDescent="0.25">
      <c r="A69" s="35">
        <v>67</v>
      </c>
      <c r="B69" s="34" t="s">
        <v>19408</v>
      </c>
      <c r="C69" s="35"/>
      <c r="D69" s="34" t="s">
        <v>6241</v>
      </c>
      <c r="E69" s="34" t="s">
        <v>15184</v>
      </c>
      <c r="F69" s="34" t="s">
        <v>5086</v>
      </c>
      <c r="G69" s="34" t="s">
        <v>13814</v>
      </c>
      <c r="H69" s="34" t="s">
        <v>19409</v>
      </c>
      <c r="I69" s="35">
        <v>2</v>
      </c>
      <c r="J69" s="34" t="s">
        <v>19410</v>
      </c>
      <c r="K69" s="35"/>
      <c r="L69" s="34" t="s">
        <v>19301</v>
      </c>
      <c r="M69" s="35" t="s">
        <v>9</v>
      </c>
      <c r="N69" s="34" t="s">
        <v>19411</v>
      </c>
      <c r="O69" s="35" t="s">
        <v>164</v>
      </c>
      <c r="P69" s="35" t="s">
        <v>3354</v>
      </c>
    </row>
    <row r="70" spans="1:16" ht="409.6" x14ac:dyDescent="0.25">
      <c r="A70" s="35">
        <v>68</v>
      </c>
      <c r="B70" s="34" t="s">
        <v>19412</v>
      </c>
      <c r="C70" s="35"/>
      <c r="D70" s="34" t="s">
        <v>15715</v>
      </c>
      <c r="E70" s="34" t="s">
        <v>8964</v>
      </c>
      <c r="F70" s="34" t="s">
        <v>16159</v>
      </c>
      <c r="G70" s="34" t="s">
        <v>19181</v>
      </c>
      <c r="H70" s="34" t="s">
        <v>19413</v>
      </c>
      <c r="I70" s="35">
        <v>2</v>
      </c>
      <c r="J70" s="34" t="s">
        <v>19414</v>
      </c>
      <c r="K70" s="35"/>
      <c r="L70" s="34" t="s">
        <v>19301</v>
      </c>
      <c r="M70" s="35" t="s">
        <v>9</v>
      </c>
      <c r="N70" s="34" t="s">
        <v>19415</v>
      </c>
      <c r="O70" s="35" t="s">
        <v>164</v>
      </c>
      <c r="P70" s="35" t="s">
        <v>3354</v>
      </c>
    </row>
    <row r="71" spans="1:16" ht="409.6" x14ac:dyDescent="0.25">
      <c r="A71" s="35">
        <v>69</v>
      </c>
      <c r="B71" s="34" t="s">
        <v>19416</v>
      </c>
      <c r="C71" s="35"/>
      <c r="D71" s="34" t="s">
        <v>8964</v>
      </c>
      <c r="E71" s="34" t="s">
        <v>15715</v>
      </c>
      <c r="F71" s="34" t="s">
        <v>16154</v>
      </c>
      <c r="G71" s="34" t="s">
        <v>16155</v>
      </c>
      <c r="H71" s="34" t="s">
        <v>19417</v>
      </c>
      <c r="I71" s="35">
        <v>2</v>
      </c>
      <c r="J71" s="34" t="s">
        <v>19418</v>
      </c>
      <c r="K71" s="35"/>
      <c r="L71" s="34" t="s">
        <v>19301</v>
      </c>
      <c r="M71" s="35" t="s">
        <v>9</v>
      </c>
      <c r="N71" s="34" t="s">
        <v>19419</v>
      </c>
      <c r="O71" s="35" t="s">
        <v>164</v>
      </c>
      <c r="P71" s="35" t="s">
        <v>3354</v>
      </c>
    </row>
    <row r="72" spans="1:16" ht="409.6" x14ac:dyDescent="0.25">
      <c r="A72" s="35">
        <v>70</v>
      </c>
      <c r="B72" s="34" t="s">
        <v>19420</v>
      </c>
      <c r="C72" s="35"/>
      <c r="D72" s="34" t="s">
        <v>19368</v>
      </c>
      <c r="E72" s="34" t="s">
        <v>8961</v>
      </c>
      <c r="F72" s="34" t="s">
        <v>19369</v>
      </c>
      <c r="G72" s="34" t="s">
        <v>19370</v>
      </c>
      <c r="H72" s="34" t="s">
        <v>19421</v>
      </c>
      <c r="I72" s="35">
        <v>1</v>
      </c>
      <c r="J72" s="34" t="s">
        <v>19422</v>
      </c>
      <c r="K72" s="35"/>
      <c r="L72" s="34" t="s">
        <v>19301</v>
      </c>
      <c r="M72" s="35" t="s">
        <v>9</v>
      </c>
      <c r="N72" s="34" t="s">
        <v>19423</v>
      </c>
      <c r="O72" s="35" t="s">
        <v>164</v>
      </c>
      <c r="P72" s="35" t="s">
        <v>3354</v>
      </c>
    </row>
    <row r="73" spans="1:16" ht="409.6" x14ac:dyDescent="0.25">
      <c r="A73" s="35">
        <v>71</v>
      </c>
      <c r="B73" s="34" t="s">
        <v>19424</v>
      </c>
      <c r="C73" s="35"/>
      <c r="D73" s="34" t="s">
        <v>19180</v>
      </c>
      <c r="E73" s="34" t="s">
        <v>15715</v>
      </c>
      <c r="F73" s="34" t="s">
        <v>16159</v>
      </c>
      <c r="G73" s="34" t="s">
        <v>19370</v>
      </c>
      <c r="H73" s="34" t="s">
        <v>8964</v>
      </c>
      <c r="I73" s="35">
        <v>1</v>
      </c>
      <c r="J73" s="34" t="s">
        <v>19425</v>
      </c>
      <c r="K73" s="35"/>
      <c r="L73" s="34" t="s">
        <v>19301</v>
      </c>
      <c r="M73" s="35" t="s">
        <v>9</v>
      </c>
      <c r="N73" s="34" t="s">
        <v>19426</v>
      </c>
      <c r="O73" s="35" t="s">
        <v>164</v>
      </c>
      <c r="P73" s="35" t="s">
        <v>2271</v>
      </c>
    </row>
    <row r="74" spans="1:16" ht="409.6" x14ac:dyDescent="0.25">
      <c r="A74" s="35">
        <v>72</v>
      </c>
      <c r="B74" s="34" t="s">
        <v>19427</v>
      </c>
      <c r="C74" s="35"/>
      <c r="D74" s="34" t="s">
        <v>4730</v>
      </c>
      <c r="E74" s="34" t="s">
        <v>19390</v>
      </c>
      <c r="F74" s="34" t="s">
        <v>19180</v>
      </c>
      <c r="G74" s="34" t="s">
        <v>19391</v>
      </c>
      <c r="H74" s="34" t="s">
        <v>19369</v>
      </c>
      <c r="I74" s="35">
        <v>1</v>
      </c>
      <c r="J74" s="34" t="s">
        <v>19428</v>
      </c>
      <c r="K74" s="35"/>
      <c r="L74" s="34" t="s">
        <v>19301</v>
      </c>
      <c r="M74" s="35" t="s">
        <v>9</v>
      </c>
      <c r="N74" s="34" t="s">
        <v>19429</v>
      </c>
      <c r="O74" s="35" t="s">
        <v>164</v>
      </c>
      <c r="P74" s="35" t="s">
        <v>2271</v>
      </c>
    </row>
    <row r="75" spans="1:16" ht="409.6" x14ac:dyDescent="0.25">
      <c r="A75" s="35">
        <v>73</v>
      </c>
      <c r="B75" s="34" t="s">
        <v>19430</v>
      </c>
      <c r="C75" s="35"/>
      <c r="D75" s="34" t="s">
        <v>3182</v>
      </c>
      <c r="E75" s="34" t="s">
        <v>19431</v>
      </c>
      <c r="F75" s="34" t="s">
        <v>8961</v>
      </c>
      <c r="G75" s="34" t="s">
        <v>19369</v>
      </c>
      <c r="H75" s="34" t="s">
        <v>19432</v>
      </c>
      <c r="I75" s="35">
        <v>1</v>
      </c>
      <c r="J75" s="34" t="s">
        <v>19433</v>
      </c>
      <c r="K75" s="35"/>
      <c r="L75" s="34" t="s">
        <v>19301</v>
      </c>
      <c r="M75" s="35" t="s">
        <v>9</v>
      </c>
      <c r="N75" s="34" t="s">
        <v>19434</v>
      </c>
      <c r="O75" s="35" t="s">
        <v>164</v>
      </c>
      <c r="P75" s="35" t="s">
        <v>2271</v>
      </c>
    </row>
    <row r="76" spans="1:16" ht="409.6" x14ac:dyDescent="0.25">
      <c r="A76" s="35">
        <v>74</v>
      </c>
      <c r="B76" s="34" t="s">
        <v>19435</v>
      </c>
      <c r="C76" s="35"/>
      <c r="D76" s="34" t="s">
        <v>14794</v>
      </c>
      <c r="E76" s="34" t="s">
        <v>14795</v>
      </c>
      <c r="F76" s="34" t="s">
        <v>15310</v>
      </c>
      <c r="G76" s="34" t="s">
        <v>15311</v>
      </c>
      <c r="H76" s="34" t="s">
        <v>15596</v>
      </c>
      <c r="I76" s="35">
        <v>1</v>
      </c>
      <c r="J76" s="34" t="s">
        <v>19436</v>
      </c>
      <c r="K76" s="35"/>
      <c r="L76" s="34" t="s">
        <v>19301</v>
      </c>
      <c r="M76" s="35" t="s">
        <v>9</v>
      </c>
      <c r="N76" s="34" t="s">
        <v>15768</v>
      </c>
      <c r="O76" s="35" t="s">
        <v>164</v>
      </c>
      <c r="P76" s="35" t="s">
        <v>2436</v>
      </c>
    </row>
    <row r="77" spans="1:16" ht="409.6" x14ac:dyDescent="0.25">
      <c r="A77" s="35">
        <v>75</v>
      </c>
      <c r="B77" s="34" t="s">
        <v>19437</v>
      </c>
      <c r="C77" s="35"/>
      <c r="D77" s="34" t="s">
        <v>19438</v>
      </c>
      <c r="E77" s="34" t="s">
        <v>19439</v>
      </c>
      <c r="F77" s="34" t="s">
        <v>19440</v>
      </c>
      <c r="G77" s="34" t="s">
        <v>19441</v>
      </c>
      <c r="H77" s="34" t="s">
        <v>19442</v>
      </c>
      <c r="I77" s="35">
        <v>1</v>
      </c>
      <c r="J77" s="34" t="s">
        <v>19443</v>
      </c>
      <c r="K77" s="35"/>
      <c r="L77" s="34" t="s">
        <v>19301</v>
      </c>
      <c r="M77" s="35" t="s">
        <v>9</v>
      </c>
      <c r="N77" s="34" t="s">
        <v>14969</v>
      </c>
      <c r="O77" s="35" t="s">
        <v>164</v>
      </c>
      <c r="P77" s="35" t="s">
        <v>2436</v>
      </c>
    </row>
    <row r="78" spans="1:16" ht="409.6" x14ac:dyDescent="0.25">
      <c r="A78" s="35">
        <v>76</v>
      </c>
      <c r="B78" s="34" t="s">
        <v>19444</v>
      </c>
      <c r="C78" s="35"/>
      <c r="D78" s="34" t="s">
        <v>19445</v>
      </c>
      <c r="E78" s="34" t="s">
        <v>19446</v>
      </c>
      <c r="F78" s="34" t="s">
        <v>19447</v>
      </c>
      <c r="G78" s="34" t="s">
        <v>19448</v>
      </c>
      <c r="H78" s="34" t="s">
        <v>9824</v>
      </c>
      <c r="I78" s="35">
        <v>1</v>
      </c>
      <c r="J78" s="34" t="s">
        <v>19449</v>
      </c>
      <c r="K78" s="35"/>
      <c r="L78" s="34" t="s">
        <v>19301</v>
      </c>
      <c r="M78" s="35" t="s">
        <v>9</v>
      </c>
      <c r="N78" s="34" t="s">
        <v>18651</v>
      </c>
      <c r="O78" s="35" t="s">
        <v>164</v>
      </c>
      <c r="P78" s="35" t="s">
        <v>2436</v>
      </c>
    </row>
    <row r="79" spans="1:16" ht="409.6" x14ac:dyDescent="0.25">
      <c r="A79" s="35">
        <v>77</v>
      </c>
      <c r="B79" s="34" t="s">
        <v>19450</v>
      </c>
      <c r="C79" s="35"/>
      <c r="D79" s="34" t="s">
        <v>13959</v>
      </c>
      <c r="E79" s="34" t="s">
        <v>19451</v>
      </c>
      <c r="F79" s="34" t="s">
        <v>19452</v>
      </c>
      <c r="G79" s="34" t="s">
        <v>2375</v>
      </c>
      <c r="H79" s="34" t="s">
        <v>19453</v>
      </c>
      <c r="I79" s="35">
        <v>1</v>
      </c>
      <c r="J79" s="34" t="s">
        <v>19454</v>
      </c>
      <c r="K79" s="35"/>
      <c r="L79" s="34" t="s">
        <v>19301</v>
      </c>
      <c r="M79" s="35" t="s">
        <v>9</v>
      </c>
      <c r="N79" s="34" t="s">
        <v>19455</v>
      </c>
      <c r="O79" s="35" t="s">
        <v>164</v>
      </c>
      <c r="P79" s="35" t="s">
        <v>2514</v>
      </c>
    </row>
    <row r="80" spans="1:16" ht="409.6" x14ac:dyDescent="0.25">
      <c r="A80" s="35">
        <v>78</v>
      </c>
      <c r="B80" s="34" t="s">
        <v>19456</v>
      </c>
      <c r="C80" s="35"/>
      <c r="D80" s="34" t="s">
        <v>14519</v>
      </c>
      <c r="E80" s="34" t="s">
        <v>19457</v>
      </c>
      <c r="F80" s="34" t="s">
        <v>19458</v>
      </c>
      <c r="G80" s="34" t="s">
        <v>19459</v>
      </c>
      <c r="H80" s="34" t="s">
        <v>19460</v>
      </c>
      <c r="I80" s="35">
        <v>1</v>
      </c>
      <c r="J80" s="34" t="s">
        <v>19461</v>
      </c>
      <c r="K80" s="35"/>
      <c r="L80" s="34" t="s">
        <v>19301</v>
      </c>
      <c r="M80" s="35" t="s">
        <v>9</v>
      </c>
      <c r="N80" s="34" t="s">
        <v>19462</v>
      </c>
      <c r="O80" s="35" t="s">
        <v>164</v>
      </c>
      <c r="P80" s="35" t="s">
        <v>2514</v>
      </c>
    </row>
    <row r="81" spans="1:16" ht="409.6" x14ac:dyDescent="0.25">
      <c r="A81" s="35">
        <v>79</v>
      </c>
      <c r="B81" s="34" t="s">
        <v>19463</v>
      </c>
      <c r="C81" s="35"/>
      <c r="D81" s="34" t="s">
        <v>1634</v>
      </c>
      <c r="E81" s="34" t="s">
        <v>1635</v>
      </c>
      <c r="F81" s="34" t="s">
        <v>1636</v>
      </c>
      <c r="G81" s="34" t="s">
        <v>1637</v>
      </c>
      <c r="H81" s="34" t="s">
        <v>1638</v>
      </c>
      <c r="I81" s="35">
        <v>1</v>
      </c>
      <c r="J81" s="34" t="s">
        <v>19464</v>
      </c>
      <c r="K81" s="35"/>
      <c r="L81" s="34" t="s">
        <v>19301</v>
      </c>
      <c r="M81" s="35" t="s">
        <v>9</v>
      </c>
      <c r="N81" s="34" t="s">
        <v>19465</v>
      </c>
      <c r="O81" s="35" t="s">
        <v>164</v>
      </c>
      <c r="P81" s="35" t="s">
        <v>2514</v>
      </c>
    </row>
    <row r="82" spans="1:16" ht="409.6" x14ac:dyDescent="0.25">
      <c r="A82" s="35">
        <v>80</v>
      </c>
      <c r="B82" s="34" t="s">
        <v>19466</v>
      </c>
      <c r="C82" s="35"/>
      <c r="D82" s="34" t="s">
        <v>2230</v>
      </c>
      <c r="E82" s="34" t="s">
        <v>4897</v>
      </c>
      <c r="F82" s="34" t="s">
        <v>4898</v>
      </c>
      <c r="G82" s="34" t="s">
        <v>19467</v>
      </c>
      <c r="H82" s="34" t="s">
        <v>19468</v>
      </c>
      <c r="I82" s="35">
        <v>1</v>
      </c>
      <c r="J82" s="34" t="s">
        <v>19469</v>
      </c>
      <c r="K82" s="35"/>
      <c r="L82" s="34" t="s">
        <v>19301</v>
      </c>
      <c r="M82" s="35" t="s">
        <v>9</v>
      </c>
      <c r="N82" s="34" t="s">
        <v>19470</v>
      </c>
      <c r="O82" s="35" t="s">
        <v>164</v>
      </c>
      <c r="P82" s="35" t="s">
        <v>2514</v>
      </c>
    </row>
    <row r="83" spans="1:16" ht="409.6" x14ac:dyDescent="0.25">
      <c r="A83" s="35">
        <v>81</v>
      </c>
      <c r="B83" s="34" t="s">
        <v>19471</v>
      </c>
      <c r="C83" s="35"/>
      <c r="D83" s="34" t="s">
        <v>19472</v>
      </c>
      <c r="E83" s="34" t="s">
        <v>19473</v>
      </c>
      <c r="F83" s="34" t="s">
        <v>19474</v>
      </c>
      <c r="G83" s="34" t="s">
        <v>19475</v>
      </c>
      <c r="H83" s="34" t="s">
        <v>19476</v>
      </c>
      <c r="I83" s="35">
        <v>1</v>
      </c>
      <c r="J83" s="34" t="s">
        <v>19477</v>
      </c>
      <c r="K83" s="35"/>
      <c r="L83" s="34" t="s">
        <v>19301</v>
      </c>
      <c r="M83" s="35" t="s">
        <v>9</v>
      </c>
      <c r="N83" s="34" t="s">
        <v>19478</v>
      </c>
      <c r="O83" s="35" t="s">
        <v>164</v>
      </c>
      <c r="P83" s="35" t="s">
        <v>2514</v>
      </c>
    </row>
    <row r="84" spans="1:16" ht="13.2" x14ac:dyDescent="0.25">
      <c r="A84">
        <v>82</v>
      </c>
      <c r="B84" t="s">
        <v>19479</v>
      </c>
      <c r="D84" t="s">
        <v>19480</v>
      </c>
      <c r="E84" t="s">
        <v>19481</v>
      </c>
      <c r="F84" t="s">
        <v>2077</v>
      </c>
      <c r="G84" t="s">
        <v>19482</v>
      </c>
      <c r="H84" t="s">
        <v>19483</v>
      </c>
      <c r="I84" t="s">
        <v>84</v>
      </c>
      <c r="J84" t="s">
        <v>19484</v>
      </c>
      <c r="L84" t="s">
        <v>1645</v>
      </c>
      <c r="M84" t="s">
        <v>29</v>
      </c>
      <c r="N84" t="s">
        <v>1669</v>
      </c>
    </row>
    <row r="85" spans="1:16" ht="13.2" x14ac:dyDescent="0.25">
      <c r="A85">
        <v>83</v>
      </c>
      <c r="B85" t="s">
        <v>19485</v>
      </c>
      <c r="D85" t="s">
        <v>2230</v>
      </c>
      <c r="E85" t="s">
        <v>2231</v>
      </c>
      <c r="F85" t="s">
        <v>2232</v>
      </c>
      <c r="G85" t="s">
        <v>19486</v>
      </c>
      <c r="H85" t="s">
        <v>2234</v>
      </c>
      <c r="I85" t="s">
        <v>96</v>
      </c>
      <c r="J85" t="s">
        <v>19487</v>
      </c>
      <c r="L85" t="s">
        <v>1645</v>
      </c>
      <c r="M85" t="s">
        <v>29</v>
      </c>
      <c r="N85" t="s">
        <v>14393</v>
      </c>
    </row>
  </sheetData>
  <mergeCells count="1">
    <mergeCell ref="A1:F1"/>
  </mergeCell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Q119"/>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7" ht="34.950000000000003" customHeight="1" x14ac:dyDescent="0.25">
      <c r="A1" s="51" t="str">
        <f>HYPERLINK("#gid=0", "🏠 กลับสู่หน้าแรก (Go to Home Page)")</f>
        <v>🏠 กลับสู่หน้าแรก (Go to Home Page)</v>
      </c>
      <c r="B1" s="49"/>
      <c r="C1" s="49"/>
      <c r="D1" s="49"/>
      <c r="E1" s="49"/>
      <c r="F1" s="49"/>
    </row>
    <row r="2" spans="1:17"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7" ht="13.2" customHeight="1" x14ac:dyDescent="0.25">
      <c r="A3" s="8" t="s">
        <v>96</v>
      </c>
      <c r="B3" s="2" t="s">
        <v>19488</v>
      </c>
      <c r="C3" s="2"/>
      <c r="D3" s="2" t="s">
        <v>19489</v>
      </c>
      <c r="E3" s="2" t="s">
        <v>19490</v>
      </c>
      <c r="F3" s="2" t="s">
        <v>19491</v>
      </c>
      <c r="G3" s="2" t="s">
        <v>19492</v>
      </c>
      <c r="H3" s="2" t="s">
        <v>19493</v>
      </c>
      <c r="I3" s="8" t="s">
        <v>84</v>
      </c>
      <c r="J3" s="2" t="s">
        <v>19494</v>
      </c>
      <c r="K3" s="2"/>
      <c r="L3" s="2" t="s">
        <v>4889</v>
      </c>
      <c r="M3" s="2" t="s">
        <v>19495</v>
      </c>
      <c r="N3" s="2" t="s">
        <v>19496</v>
      </c>
      <c r="O3" s="2" t="s">
        <v>816</v>
      </c>
      <c r="P3" s="2" t="s">
        <v>1849</v>
      </c>
      <c r="Q3" s="2"/>
    </row>
    <row r="4" spans="1:17" ht="13.2" customHeight="1" x14ac:dyDescent="0.25">
      <c r="A4" s="8" t="s">
        <v>90</v>
      </c>
      <c r="B4" s="2" t="s">
        <v>19497</v>
      </c>
      <c r="C4" s="2"/>
      <c r="D4" s="2" t="s">
        <v>19495</v>
      </c>
      <c r="E4" s="2" t="s">
        <v>19498</v>
      </c>
      <c r="F4" s="2" t="s">
        <v>19499</v>
      </c>
      <c r="G4" s="2" t="s">
        <v>19500</v>
      </c>
      <c r="H4" s="2" t="s">
        <v>19501</v>
      </c>
      <c r="I4" s="8" t="s">
        <v>84</v>
      </c>
      <c r="J4" s="2" t="s">
        <v>19502</v>
      </c>
      <c r="K4" s="2"/>
      <c r="L4" s="2" t="s">
        <v>4889</v>
      </c>
      <c r="M4" s="2" t="s">
        <v>19495</v>
      </c>
      <c r="N4" s="2" t="s">
        <v>19503</v>
      </c>
      <c r="O4" s="2" t="s">
        <v>164</v>
      </c>
      <c r="P4" s="2" t="s">
        <v>2017</v>
      </c>
    </row>
    <row r="5" spans="1:17" ht="13.2" customHeight="1" x14ac:dyDescent="0.25">
      <c r="A5" s="8" t="s">
        <v>113</v>
      </c>
      <c r="B5" s="2" t="s">
        <v>19504</v>
      </c>
      <c r="C5" s="2"/>
      <c r="D5" s="2" t="s">
        <v>19495</v>
      </c>
      <c r="E5" s="2" t="s">
        <v>19501</v>
      </c>
      <c r="F5" s="2" t="s">
        <v>19505</v>
      </c>
      <c r="G5" s="2" t="s">
        <v>19506</v>
      </c>
      <c r="H5" s="2" t="s">
        <v>19507</v>
      </c>
      <c r="I5" s="8" t="s">
        <v>84</v>
      </c>
      <c r="J5" s="2" t="s">
        <v>19508</v>
      </c>
      <c r="K5" s="2"/>
      <c r="L5" s="2" t="s">
        <v>4889</v>
      </c>
      <c r="M5" s="2" t="s">
        <v>19495</v>
      </c>
      <c r="N5" s="2" t="s">
        <v>9745</v>
      </c>
      <c r="O5" s="2" t="s">
        <v>164</v>
      </c>
      <c r="P5" s="2" t="s">
        <v>2017</v>
      </c>
    </row>
    <row r="6" spans="1:17" ht="13.2" customHeight="1" x14ac:dyDescent="0.25">
      <c r="A6" s="8" t="s">
        <v>123</v>
      </c>
      <c r="B6" s="2" t="s">
        <v>19509</v>
      </c>
      <c r="C6" s="2"/>
      <c r="D6" s="2" t="s">
        <v>19495</v>
      </c>
      <c r="E6" s="2" t="s">
        <v>19507</v>
      </c>
      <c r="F6" s="2" t="s">
        <v>19510</v>
      </c>
      <c r="G6" s="2" t="s">
        <v>19511</v>
      </c>
      <c r="H6" s="2" t="s">
        <v>19512</v>
      </c>
      <c r="I6" s="8" t="s">
        <v>84</v>
      </c>
      <c r="J6" s="2" t="s">
        <v>19513</v>
      </c>
      <c r="K6" s="2"/>
      <c r="L6" s="2" t="s">
        <v>4889</v>
      </c>
      <c r="M6" s="2" t="s">
        <v>19495</v>
      </c>
      <c r="N6" s="2" t="s">
        <v>11814</v>
      </c>
      <c r="O6" s="2" t="s">
        <v>164</v>
      </c>
      <c r="P6" s="2" t="s">
        <v>2017</v>
      </c>
    </row>
    <row r="7" spans="1:17" ht="13.2" customHeight="1" x14ac:dyDescent="0.25">
      <c r="A7" s="8" t="s">
        <v>132</v>
      </c>
      <c r="B7" s="2" t="s">
        <v>19514</v>
      </c>
      <c r="C7" s="2"/>
      <c r="D7" s="2" t="s">
        <v>19495</v>
      </c>
      <c r="E7" s="2" t="s">
        <v>19512</v>
      </c>
      <c r="F7" s="2" t="s">
        <v>19498</v>
      </c>
      <c r="G7" s="2" t="s">
        <v>19499</v>
      </c>
      <c r="H7" s="2" t="s">
        <v>19500</v>
      </c>
      <c r="I7" s="8" t="s">
        <v>84</v>
      </c>
      <c r="J7" s="2" t="s">
        <v>19515</v>
      </c>
      <c r="K7" s="2"/>
      <c r="L7" s="2" t="s">
        <v>4889</v>
      </c>
      <c r="M7" s="2" t="s">
        <v>19495</v>
      </c>
      <c r="N7" s="2" t="s">
        <v>2066</v>
      </c>
      <c r="O7" s="2" t="s">
        <v>164</v>
      </c>
      <c r="P7" s="2" t="s">
        <v>2017</v>
      </c>
    </row>
    <row r="8" spans="1:17" ht="13.2" customHeight="1" x14ac:dyDescent="0.25">
      <c r="A8" s="8" t="s">
        <v>10084</v>
      </c>
      <c r="B8" s="2" t="s">
        <v>19516</v>
      </c>
      <c r="C8" s="2"/>
      <c r="D8" s="2" t="s">
        <v>19495</v>
      </c>
      <c r="E8" s="2" t="s">
        <v>19500</v>
      </c>
      <c r="F8" s="2" t="s">
        <v>19501</v>
      </c>
      <c r="G8" s="2" t="s">
        <v>19505</v>
      </c>
      <c r="H8" s="2" t="s">
        <v>19506</v>
      </c>
      <c r="I8" s="8" t="s">
        <v>84</v>
      </c>
      <c r="J8" s="2" t="s">
        <v>19517</v>
      </c>
      <c r="K8" s="2"/>
      <c r="L8" s="2" t="s">
        <v>4889</v>
      </c>
      <c r="M8" s="2" t="s">
        <v>19495</v>
      </c>
      <c r="N8" s="2" t="s">
        <v>11814</v>
      </c>
      <c r="O8" s="2" t="s">
        <v>164</v>
      </c>
      <c r="P8" s="2" t="s">
        <v>2017</v>
      </c>
    </row>
    <row r="9" spans="1:17" ht="13.2" customHeight="1" x14ac:dyDescent="0.25">
      <c r="A9" s="8" t="s">
        <v>10093</v>
      </c>
      <c r="B9" s="2" t="s">
        <v>19518</v>
      </c>
      <c r="C9" s="2"/>
      <c r="D9" s="2" t="s">
        <v>19495</v>
      </c>
      <c r="E9" s="2" t="s">
        <v>19506</v>
      </c>
      <c r="F9" s="2" t="s">
        <v>19507</v>
      </c>
      <c r="G9" s="2" t="s">
        <v>19510</v>
      </c>
      <c r="H9" s="2" t="s">
        <v>19511</v>
      </c>
      <c r="I9" s="8" t="s">
        <v>84</v>
      </c>
      <c r="J9" s="2" t="s">
        <v>19519</v>
      </c>
      <c r="K9" s="2"/>
      <c r="L9" s="2" t="s">
        <v>4889</v>
      </c>
      <c r="M9" s="2" t="s">
        <v>19495</v>
      </c>
      <c r="N9" s="2" t="s">
        <v>19520</v>
      </c>
      <c r="O9" s="2" t="s">
        <v>164</v>
      </c>
      <c r="P9" s="2" t="s">
        <v>2017</v>
      </c>
    </row>
    <row r="10" spans="1:17" ht="13.2" customHeight="1" x14ac:dyDescent="0.25">
      <c r="A10" s="8" t="s">
        <v>10102</v>
      </c>
      <c r="B10" s="2" t="s">
        <v>19521</v>
      </c>
      <c r="C10" s="2"/>
      <c r="D10" s="2" t="s">
        <v>19495</v>
      </c>
      <c r="E10" s="2" t="s">
        <v>19511</v>
      </c>
      <c r="F10" s="2" t="s">
        <v>19512</v>
      </c>
      <c r="G10" s="2" t="s">
        <v>19498</v>
      </c>
      <c r="H10" s="2" t="s">
        <v>19499</v>
      </c>
      <c r="I10" s="8" t="s">
        <v>84</v>
      </c>
      <c r="J10" s="2" t="s">
        <v>19522</v>
      </c>
      <c r="K10" s="2"/>
      <c r="L10" s="2" t="s">
        <v>4889</v>
      </c>
      <c r="M10" s="2" t="s">
        <v>19495</v>
      </c>
      <c r="N10" s="2" t="s">
        <v>9770</v>
      </c>
      <c r="O10" s="2" t="s">
        <v>164</v>
      </c>
      <c r="P10" s="2" t="s">
        <v>2017</v>
      </c>
    </row>
    <row r="11" spans="1:17" ht="13.2" customHeight="1" x14ac:dyDescent="0.25">
      <c r="A11" s="8" t="s">
        <v>10111</v>
      </c>
      <c r="B11" s="2" t="s">
        <v>19523</v>
      </c>
      <c r="C11" s="2"/>
      <c r="D11" s="2" t="s">
        <v>19524</v>
      </c>
      <c r="E11" s="2" t="s">
        <v>19525</v>
      </c>
      <c r="F11" s="2" t="s">
        <v>19526</v>
      </c>
      <c r="G11" s="2" t="s">
        <v>19527</v>
      </c>
      <c r="H11" s="2" t="s">
        <v>11824</v>
      </c>
      <c r="I11" s="8" t="s">
        <v>84</v>
      </c>
      <c r="J11" s="2" t="s">
        <v>19528</v>
      </c>
      <c r="K11" s="2"/>
      <c r="L11" s="2" t="s">
        <v>4889</v>
      </c>
      <c r="M11" s="2" t="s">
        <v>19495</v>
      </c>
      <c r="N11" s="2" t="s">
        <v>19529</v>
      </c>
      <c r="O11" s="2" t="s">
        <v>164</v>
      </c>
      <c r="P11" s="2" t="s">
        <v>2109</v>
      </c>
      <c r="Q11" s="2"/>
    </row>
    <row r="12" spans="1:17" ht="13.2" customHeight="1" x14ac:dyDescent="0.25">
      <c r="A12" s="8" t="s">
        <v>10119</v>
      </c>
      <c r="B12" s="2" t="s">
        <v>19530</v>
      </c>
      <c r="C12" s="2"/>
      <c r="D12" s="2" t="s">
        <v>19531</v>
      </c>
      <c r="E12" s="2" t="s">
        <v>19532</v>
      </c>
      <c r="F12" s="2" t="s">
        <v>19533</v>
      </c>
      <c r="G12" s="2" t="s">
        <v>19534</v>
      </c>
      <c r="H12" s="2" t="s">
        <v>19535</v>
      </c>
      <c r="I12" s="8" t="s">
        <v>84</v>
      </c>
      <c r="J12" s="2" t="s">
        <v>19536</v>
      </c>
      <c r="K12" s="2"/>
      <c r="L12" s="2" t="s">
        <v>4889</v>
      </c>
      <c r="M12" s="2" t="s">
        <v>19495</v>
      </c>
      <c r="N12" s="2" t="s">
        <v>19537</v>
      </c>
      <c r="O12" s="2" t="s">
        <v>164</v>
      </c>
      <c r="P12" s="2" t="s">
        <v>2109</v>
      </c>
      <c r="Q12" s="2"/>
    </row>
    <row r="13" spans="1:17" ht="13.2" customHeight="1" x14ac:dyDescent="0.25">
      <c r="A13" s="8" t="s">
        <v>10123</v>
      </c>
      <c r="B13" s="2" t="s">
        <v>19538</v>
      </c>
      <c r="C13" s="2"/>
      <c r="D13" s="2" t="s">
        <v>19495</v>
      </c>
      <c r="E13" s="2" t="s">
        <v>7123</v>
      </c>
      <c r="F13" s="2" t="s">
        <v>19539</v>
      </c>
      <c r="G13" s="2" t="s">
        <v>19540</v>
      </c>
      <c r="H13" s="2" t="s">
        <v>19498</v>
      </c>
      <c r="I13" s="8" t="s">
        <v>84</v>
      </c>
      <c r="J13" s="2" t="s">
        <v>19541</v>
      </c>
      <c r="K13" s="2"/>
      <c r="L13" s="2" t="s">
        <v>4889</v>
      </c>
      <c r="M13" s="2" t="s">
        <v>19495</v>
      </c>
      <c r="N13" s="2" t="s">
        <v>19542</v>
      </c>
      <c r="O13" s="2" t="s">
        <v>164</v>
      </c>
      <c r="P13" s="2" t="s">
        <v>3354</v>
      </c>
    </row>
    <row r="14" spans="1:17" ht="13.2" customHeight="1" x14ac:dyDescent="0.25">
      <c r="A14" s="8" t="s">
        <v>10123</v>
      </c>
      <c r="B14" s="2" t="s">
        <v>19543</v>
      </c>
      <c r="C14" s="2"/>
      <c r="D14" s="2" t="s">
        <v>14517</v>
      </c>
      <c r="E14" s="2" t="s">
        <v>14518</v>
      </c>
      <c r="F14" s="2" t="s">
        <v>14519</v>
      </c>
      <c r="G14" s="2" t="s">
        <v>3550</v>
      </c>
      <c r="H14" s="2" t="s">
        <v>19544</v>
      </c>
      <c r="I14" s="8" t="s">
        <v>84</v>
      </c>
      <c r="J14" s="2" t="s">
        <v>19545</v>
      </c>
      <c r="K14" s="2"/>
      <c r="L14" s="2" t="s">
        <v>4889</v>
      </c>
      <c r="M14" s="2" t="s">
        <v>9</v>
      </c>
      <c r="N14" s="2" t="s">
        <v>19546</v>
      </c>
      <c r="O14" s="2" t="s">
        <v>164</v>
      </c>
      <c r="P14" s="2" t="s">
        <v>2206</v>
      </c>
    </row>
    <row r="15" spans="1:17" ht="13.2" customHeight="1" x14ac:dyDescent="0.25">
      <c r="A15" s="8" t="s">
        <v>10130</v>
      </c>
      <c r="B15" s="2" t="s">
        <v>19547</v>
      </c>
      <c r="C15" s="2"/>
      <c r="D15" s="2" t="s">
        <v>19548</v>
      </c>
      <c r="E15" s="2" t="s">
        <v>19549</v>
      </c>
      <c r="F15" s="2" t="s">
        <v>19550</v>
      </c>
      <c r="G15" s="2" t="s">
        <v>19551</v>
      </c>
      <c r="H15" s="2" t="s">
        <v>19552</v>
      </c>
      <c r="I15" s="8" t="s">
        <v>84</v>
      </c>
      <c r="J15" s="2" t="s">
        <v>19553</v>
      </c>
      <c r="K15" s="2"/>
      <c r="L15" s="2" t="s">
        <v>4889</v>
      </c>
      <c r="M15" s="2" t="s">
        <v>9</v>
      </c>
      <c r="N15" s="2" t="s">
        <v>6134</v>
      </c>
      <c r="O15" s="2" t="s">
        <v>164</v>
      </c>
      <c r="P15" s="2" t="s">
        <v>2317</v>
      </c>
    </row>
    <row r="16" spans="1:17" ht="13.2" customHeight="1" x14ac:dyDescent="0.25">
      <c r="A16" s="8" t="s">
        <v>10137</v>
      </c>
      <c r="B16" s="2" t="s">
        <v>19554</v>
      </c>
      <c r="C16" s="2"/>
      <c r="D16" s="2" t="s">
        <v>7070</v>
      </c>
      <c r="E16" s="2" t="s">
        <v>7071</v>
      </c>
      <c r="F16" s="2" t="s">
        <v>7072</v>
      </c>
      <c r="G16" s="2" t="s">
        <v>7073</v>
      </c>
      <c r="H16" s="2" t="s">
        <v>7074</v>
      </c>
      <c r="I16" s="8" t="s">
        <v>84</v>
      </c>
      <c r="J16" s="2" t="s">
        <v>19555</v>
      </c>
      <c r="K16" s="2"/>
      <c r="L16" s="2" t="s">
        <v>4889</v>
      </c>
      <c r="M16" s="2" t="s">
        <v>9</v>
      </c>
      <c r="N16" s="2" t="s">
        <v>19556</v>
      </c>
      <c r="O16" s="2" t="s">
        <v>164</v>
      </c>
      <c r="P16" s="2" t="s">
        <v>2436</v>
      </c>
    </row>
    <row r="17" spans="1:16" ht="13.2" customHeight="1" x14ac:dyDescent="0.25">
      <c r="A17" s="8" t="s">
        <v>10142</v>
      </c>
      <c r="B17" s="2" t="s">
        <v>19557</v>
      </c>
      <c r="C17" s="2"/>
      <c r="D17" s="2" t="s">
        <v>19558</v>
      </c>
      <c r="E17" s="2" t="s">
        <v>7049</v>
      </c>
      <c r="F17" s="2" t="s">
        <v>7050</v>
      </c>
      <c r="G17" s="2" t="s">
        <v>19559</v>
      </c>
      <c r="H17" s="2" t="s">
        <v>7078</v>
      </c>
      <c r="I17" s="8" t="s">
        <v>84</v>
      </c>
      <c r="J17" s="2" t="s">
        <v>19560</v>
      </c>
      <c r="K17" s="2"/>
      <c r="L17" s="2" t="s">
        <v>4889</v>
      </c>
      <c r="M17" s="2" t="s">
        <v>9</v>
      </c>
      <c r="N17" s="2" t="s">
        <v>19561</v>
      </c>
      <c r="O17" s="2" t="s">
        <v>164</v>
      </c>
      <c r="P17" s="2" t="s">
        <v>2436</v>
      </c>
    </row>
    <row r="18" spans="1:16" ht="13.2" customHeight="1" x14ac:dyDescent="0.25">
      <c r="A18" s="8" t="s">
        <v>10146</v>
      </c>
      <c r="B18" s="2" t="s">
        <v>19562</v>
      </c>
      <c r="C18" s="2"/>
      <c r="D18" s="2" t="s">
        <v>7050</v>
      </c>
      <c r="E18" s="2" t="s">
        <v>19563</v>
      </c>
      <c r="F18" s="2" t="s">
        <v>19559</v>
      </c>
      <c r="G18" s="2" t="s">
        <v>19564</v>
      </c>
      <c r="H18" s="2" t="s">
        <v>7078</v>
      </c>
      <c r="I18" s="8" t="s">
        <v>84</v>
      </c>
      <c r="J18" s="2" t="s">
        <v>19565</v>
      </c>
      <c r="K18" s="2"/>
      <c r="L18" s="2" t="s">
        <v>4889</v>
      </c>
      <c r="M18" s="2" t="s">
        <v>9</v>
      </c>
      <c r="N18" s="2" t="s">
        <v>19566</v>
      </c>
      <c r="O18" s="2" t="s">
        <v>164</v>
      </c>
      <c r="P18" s="2" t="s">
        <v>2436</v>
      </c>
    </row>
    <row r="19" spans="1:16" ht="13.2" customHeight="1" x14ac:dyDescent="0.25">
      <c r="A19" s="8" t="s">
        <v>10154</v>
      </c>
      <c r="B19" s="2" t="s">
        <v>19567</v>
      </c>
      <c r="C19" s="2"/>
      <c r="D19" s="2" t="s">
        <v>795</v>
      </c>
      <c r="E19" s="2" t="s">
        <v>5023</v>
      </c>
      <c r="F19" s="2" t="s">
        <v>19568</v>
      </c>
      <c r="G19" s="2" t="s">
        <v>6955</v>
      </c>
      <c r="H19" s="2" t="s">
        <v>19569</v>
      </c>
      <c r="I19" s="8" t="s">
        <v>84</v>
      </c>
      <c r="J19" s="2" t="s">
        <v>19570</v>
      </c>
      <c r="K19" s="2"/>
      <c r="L19" s="2" t="s">
        <v>4889</v>
      </c>
      <c r="M19" s="2" t="s">
        <v>9</v>
      </c>
      <c r="N19" s="2" t="s">
        <v>19571</v>
      </c>
      <c r="O19" s="2" t="s">
        <v>164</v>
      </c>
      <c r="P19" s="2" t="s">
        <v>2436</v>
      </c>
    </row>
    <row r="20" spans="1:16" ht="13.2" customHeight="1" x14ac:dyDescent="0.25">
      <c r="A20" s="8" t="s">
        <v>10162</v>
      </c>
      <c r="B20" s="2" t="s">
        <v>19572</v>
      </c>
      <c r="C20" s="2"/>
      <c r="D20" s="2" t="s">
        <v>15773</v>
      </c>
      <c r="E20" s="2" t="s">
        <v>16174</v>
      </c>
      <c r="F20" s="2" t="s">
        <v>15775</v>
      </c>
      <c r="G20" s="2" t="s">
        <v>16173</v>
      </c>
      <c r="H20" s="2" t="s">
        <v>16175</v>
      </c>
      <c r="I20" s="8" t="s">
        <v>84</v>
      </c>
      <c r="J20" s="2" t="s">
        <v>19573</v>
      </c>
      <c r="K20" s="2"/>
      <c r="L20" s="2" t="s">
        <v>4889</v>
      </c>
      <c r="M20" s="2" t="s">
        <v>9</v>
      </c>
      <c r="N20" s="2" t="s">
        <v>19574</v>
      </c>
      <c r="O20" s="2" t="s">
        <v>164</v>
      </c>
      <c r="P20" s="2" t="s">
        <v>2436</v>
      </c>
    </row>
    <row r="21" spans="1:16" ht="13.2" customHeight="1" x14ac:dyDescent="0.25">
      <c r="A21" s="8" t="s">
        <v>10169</v>
      </c>
      <c r="B21" s="2" t="s">
        <v>19575</v>
      </c>
      <c r="C21" s="2"/>
      <c r="D21" s="2" t="s">
        <v>13232</v>
      </c>
      <c r="E21" s="2" t="s">
        <v>19576</v>
      </c>
      <c r="F21" s="2" t="s">
        <v>19577</v>
      </c>
      <c r="G21" s="2" t="s">
        <v>19578</v>
      </c>
      <c r="H21" s="2" t="s">
        <v>19579</v>
      </c>
      <c r="I21" s="8" t="s">
        <v>84</v>
      </c>
      <c r="J21" s="2" t="s">
        <v>19580</v>
      </c>
      <c r="K21" s="2"/>
      <c r="L21" s="2" t="s">
        <v>4889</v>
      </c>
      <c r="M21" s="2" t="s">
        <v>9</v>
      </c>
      <c r="N21" s="2" t="s">
        <v>19581</v>
      </c>
      <c r="O21" s="2" t="s">
        <v>164</v>
      </c>
      <c r="P21" s="2" t="s">
        <v>2436</v>
      </c>
    </row>
    <row r="22" spans="1:16" ht="13.2" customHeight="1" x14ac:dyDescent="0.25">
      <c r="A22" s="8" t="s">
        <v>10177</v>
      </c>
      <c r="B22" s="2" t="s">
        <v>19582</v>
      </c>
      <c r="C22" s="2"/>
      <c r="D22" s="2" t="s">
        <v>19583</v>
      </c>
      <c r="E22" s="2" t="s">
        <v>19584</v>
      </c>
      <c r="F22" s="2" t="s">
        <v>19585</v>
      </c>
      <c r="G22" s="2" t="s">
        <v>19586</v>
      </c>
      <c r="H22" s="2" t="s">
        <v>19587</v>
      </c>
      <c r="I22" s="8" t="s">
        <v>84</v>
      </c>
      <c r="J22" s="2" t="s">
        <v>19588</v>
      </c>
      <c r="K22" s="2"/>
      <c r="L22" s="2" t="s">
        <v>4889</v>
      </c>
      <c r="M22" s="2" t="s">
        <v>9</v>
      </c>
      <c r="N22" s="2" t="s">
        <v>19589</v>
      </c>
      <c r="O22" s="2" t="s">
        <v>164</v>
      </c>
      <c r="P22" s="2" t="s">
        <v>2514</v>
      </c>
    </row>
    <row r="23" spans="1:16" ht="13.2" customHeight="1" x14ac:dyDescent="0.25">
      <c r="A23" s="8" t="s">
        <v>10183</v>
      </c>
      <c r="B23" s="2" t="s">
        <v>19590</v>
      </c>
      <c r="C23" s="2"/>
      <c r="D23" s="2" t="s">
        <v>19591</v>
      </c>
      <c r="E23" s="2" t="s">
        <v>19592</v>
      </c>
      <c r="F23" s="2" t="s">
        <v>19593</v>
      </c>
      <c r="G23" s="2" t="s">
        <v>19594</v>
      </c>
      <c r="H23" s="2" t="s">
        <v>19595</v>
      </c>
      <c r="I23" s="8" t="s">
        <v>84</v>
      </c>
      <c r="J23" s="2" t="s">
        <v>19596</v>
      </c>
      <c r="K23" s="2"/>
      <c r="L23" s="2" t="s">
        <v>4889</v>
      </c>
      <c r="M23" s="2" t="s">
        <v>9</v>
      </c>
      <c r="N23" s="2" t="s">
        <v>19597</v>
      </c>
      <c r="O23" s="2" t="s">
        <v>164</v>
      </c>
      <c r="P23" s="2" t="s">
        <v>2514</v>
      </c>
    </row>
    <row r="24" spans="1:16" ht="13.2" customHeight="1" x14ac:dyDescent="0.25">
      <c r="A24" s="8" t="s">
        <v>10189</v>
      </c>
      <c r="B24" s="2" t="s">
        <v>19598</v>
      </c>
      <c r="C24" s="2"/>
      <c r="D24" s="2" t="s">
        <v>19599</v>
      </c>
      <c r="E24" s="2" t="s">
        <v>19600</v>
      </c>
      <c r="F24" s="2" t="s">
        <v>19458</v>
      </c>
      <c r="G24" s="2" t="s">
        <v>19601</v>
      </c>
      <c r="H24" s="2" t="s">
        <v>19460</v>
      </c>
      <c r="I24" s="8" t="s">
        <v>84</v>
      </c>
      <c r="J24" s="2" t="s">
        <v>19602</v>
      </c>
      <c r="K24" s="2"/>
      <c r="L24" s="2" t="s">
        <v>4889</v>
      </c>
      <c r="M24" s="2" t="s">
        <v>9</v>
      </c>
      <c r="N24" s="2" t="s">
        <v>19603</v>
      </c>
      <c r="O24" s="2" t="s">
        <v>164</v>
      </c>
      <c r="P24" s="2" t="s">
        <v>2514</v>
      </c>
    </row>
    <row r="25" spans="1:16" ht="13.2" customHeight="1" x14ac:dyDescent="0.25">
      <c r="A25" s="8" t="s">
        <v>10197</v>
      </c>
      <c r="B25" s="2" t="s">
        <v>19604</v>
      </c>
      <c r="C25" s="2"/>
      <c r="D25" s="2" t="s">
        <v>7055</v>
      </c>
      <c r="E25" s="2" t="s">
        <v>19605</v>
      </c>
      <c r="F25" s="2" t="s">
        <v>7056</v>
      </c>
      <c r="G25" s="2" t="s">
        <v>7050</v>
      </c>
      <c r="H25" s="2" t="s">
        <v>7049</v>
      </c>
      <c r="I25" s="8" t="s">
        <v>84</v>
      </c>
      <c r="J25" s="2" t="s">
        <v>19606</v>
      </c>
      <c r="K25" s="2"/>
      <c r="L25" s="2" t="s">
        <v>4889</v>
      </c>
      <c r="M25" s="2" t="s">
        <v>9</v>
      </c>
      <c r="N25" s="2" t="s">
        <v>11922</v>
      </c>
      <c r="O25" s="2" t="s">
        <v>164</v>
      </c>
      <c r="P25" s="2" t="s">
        <v>2514</v>
      </c>
    </row>
    <row r="26" spans="1:16" ht="13.2" customHeight="1" x14ac:dyDescent="0.25">
      <c r="A26" s="8" t="s">
        <v>10207</v>
      </c>
      <c r="B26" s="2" t="s">
        <v>19607</v>
      </c>
      <c r="C26" s="2"/>
      <c r="D26" s="2" t="s">
        <v>19608</v>
      </c>
      <c r="E26" s="2" t="s">
        <v>1576</v>
      </c>
      <c r="F26" s="2" t="s">
        <v>19609</v>
      </c>
      <c r="G26" s="2" t="s">
        <v>7007</v>
      </c>
      <c r="H26" s="2" t="s">
        <v>19610</v>
      </c>
      <c r="I26" s="8" t="s">
        <v>84</v>
      </c>
      <c r="J26" s="2" t="s">
        <v>19611</v>
      </c>
      <c r="K26" s="2"/>
      <c r="L26" s="2" t="s">
        <v>4889</v>
      </c>
      <c r="M26" s="2" t="s">
        <v>9</v>
      </c>
      <c r="N26" s="2" t="s">
        <v>11930</v>
      </c>
      <c r="O26" s="2" t="s">
        <v>164</v>
      </c>
      <c r="P26" s="2" t="s">
        <v>2514</v>
      </c>
    </row>
    <row r="27" spans="1:16" ht="13.2" customHeight="1" x14ac:dyDescent="0.25">
      <c r="A27" s="8" t="s">
        <v>10214</v>
      </c>
      <c r="B27" s="2" t="s">
        <v>19612</v>
      </c>
      <c r="C27" s="2"/>
      <c r="D27" s="2" t="s">
        <v>1554</v>
      </c>
      <c r="E27" s="2" t="s">
        <v>7123</v>
      </c>
      <c r="F27" s="2" t="s">
        <v>19613</v>
      </c>
      <c r="G27" s="2" t="s">
        <v>19614</v>
      </c>
      <c r="H27" s="2" t="s">
        <v>19615</v>
      </c>
      <c r="I27" s="8" t="s">
        <v>84</v>
      </c>
      <c r="J27" s="2" t="s">
        <v>19616</v>
      </c>
      <c r="K27" s="2"/>
      <c r="L27" s="2" t="s">
        <v>4889</v>
      </c>
      <c r="M27" s="2" t="s">
        <v>9</v>
      </c>
      <c r="N27" s="2" t="s">
        <v>19617</v>
      </c>
      <c r="O27" s="2" t="s">
        <v>816</v>
      </c>
      <c r="P27" s="2" t="s">
        <v>2629</v>
      </c>
    </row>
    <row r="28" spans="1:16" ht="13.2" customHeight="1" x14ac:dyDescent="0.25">
      <c r="A28" s="8" t="s">
        <v>10222</v>
      </c>
      <c r="B28" s="2" t="s">
        <v>19618</v>
      </c>
      <c r="C28" s="2"/>
      <c r="D28" s="2" t="s">
        <v>19619</v>
      </c>
      <c r="E28" s="2" t="s">
        <v>19620</v>
      </c>
      <c r="F28" s="2" t="s">
        <v>19621</v>
      </c>
      <c r="G28" s="2" t="s">
        <v>19622</v>
      </c>
      <c r="H28" s="2" t="s">
        <v>19623</v>
      </c>
      <c r="I28" s="8" t="s">
        <v>84</v>
      </c>
      <c r="J28" s="2" t="s">
        <v>19624</v>
      </c>
      <c r="K28" s="2"/>
      <c r="L28" s="2" t="s">
        <v>4889</v>
      </c>
      <c r="M28" s="2" t="s">
        <v>9</v>
      </c>
      <c r="N28" s="2" t="s">
        <v>19625</v>
      </c>
      <c r="O28" s="2" t="s">
        <v>816</v>
      </c>
      <c r="P28" s="2" t="s">
        <v>2629</v>
      </c>
    </row>
    <row r="29" spans="1:16" ht="13.2" customHeight="1" x14ac:dyDescent="0.25">
      <c r="A29" s="8" t="s">
        <v>10231</v>
      </c>
      <c r="B29" s="2" t="s">
        <v>19626</v>
      </c>
      <c r="C29" s="2"/>
      <c r="D29" s="2" t="s">
        <v>19627</v>
      </c>
      <c r="E29" s="2" t="s">
        <v>19563</v>
      </c>
      <c r="F29" s="2" t="s">
        <v>19628</v>
      </c>
      <c r="G29" s="2" t="s">
        <v>19629</v>
      </c>
      <c r="H29" s="2" t="s">
        <v>19630</v>
      </c>
      <c r="I29" s="8" t="s">
        <v>84</v>
      </c>
      <c r="J29" s="2" t="s">
        <v>19631</v>
      </c>
      <c r="K29" s="2"/>
      <c r="L29" s="2" t="s">
        <v>4889</v>
      </c>
      <c r="M29" s="2" t="s">
        <v>9</v>
      </c>
      <c r="N29" s="2" t="s">
        <v>19632</v>
      </c>
      <c r="O29" s="2" t="s">
        <v>816</v>
      </c>
      <c r="P29" s="2" t="s">
        <v>2629</v>
      </c>
    </row>
    <row r="30" spans="1:16" ht="13.2" customHeight="1" x14ac:dyDescent="0.25">
      <c r="A30" s="8" t="s">
        <v>10238</v>
      </c>
      <c r="B30" s="2" t="s">
        <v>19633</v>
      </c>
      <c r="C30" s="2"/>
      <c r="D30" s="2" t="s">
        <v>19510</v>
      </c>
      <c r="E30" s="2" t="s">
        <v>19511</v>
      </c>
      <c r="F30" s="2" t="s">
        <v>19512</v>
      </c>
      <c r="G30" s="2" t="s">
        <v>19498</v>
      </c>
      <c r="H30" s="2" t="s">
        <v>19499</v>
      </c>
      <c r="I30" s="8" t="s">
        <v>84</v>
      </c>
      <c r="J30" s="2" t="s">
        <v>19634</v>
      </c>
      <c r="K30" s="2"/>
      <c r="L30" s="2" t="s">
        <v>4889</v>
      </c>
      <c r="M30" s="2" t="s">
        <v>9</v>
      </c>
      <c r="N30" s="2" t="s">
        <v>19635</v>
      </c>
      <c r="O30" s="2" t="s">
        <v>164</v>
      </c>
      <c r="P30" s="2" t="s">
        <v>3561</v>
      </c>
    </row>
    <row r="31" spans="1:16" ht="13.2" customHeight="1" x14ac:dyDescent="0.25">
      <c r="A31" s="8" t="s">
        <v>10246</v>
      </c>
      <c r="B31" s="2" t="s">
        <v>19636</v>
      </c>
      <c r="C31" s="2"/>
      <c r="D31" s="2" t="s">
        <v>19498</v>
      </c>
      <c r="E31" s="2" t="s">
        <v>19499</v>
      </c>
      <c r="F31" s="2" t="s">
        <v>19500</v>
      </c>
      <c r="G31" s="2" t="s">
        <v>19501</v>
      </c>
      <c r="H31" s="2" t="s">
        <v>19505</v>
      </c>
      <c r="I31" s="8" t="s">
        <v>84</v>
      </c>
      <c r="J31" s="2" t="s">
        <v>19637</v>
      </c>
      <c r="K31" s="2"/>
      <c r="L31" s="2" t="s">
        <v>4889</v>
      </c>
      <c r="M31" s="2" t="s">
        <v>9</v>
      </c>
      <c r="N31" s="2" t="s">
        <v>19638</v>
      </c>
      <c r="O31" s="2" t="s">
        <v>164</v>
      </c>
      <c r="P31" s="2" t="s">
        <v>3561</v>
      </c>
    </row>
    <row r="32" spans="1:16" ht="13.2" customHeight="1" x14ac:dyDescent="0.25">
      <c r="A32" s="8" t="s">
        <v>10250</v>
      </c>
      <c r="B32" s="2" t="s">
        <v>19639</v>
      </c>
      <c r="C32" s="2"/>
      <c r="D32" s="2" t="s">
        <v>19501</v>
      </c>
      <c r="E32" s="2" t="s">
        <v>19505</v>
      </c>
      <c r="F32" s="2" t="s">
        <v>19506</v>
      </c>
      <c r="G32" s="2" t="s">
        <v>19507</v>
      </c>
      <c r="H32" s="2" t="s">
        <v>19510</v>
      </c>
      <c r="I32" s="8" t="s">
        <v>84</v>
      </c>
      <c r="J32" s="2" t="s">
        <v>19640</v>
      </c>
      <c r="K32" s="2"/>
      <c r="L32" s="2" t="s">
        <v>4889</v>
      </c>
      <c r="M32" s="2" t="s">
        <v>9</v>
      </c>
      <c r="N32" s="2" t="s">
        <v>19641</v>
      </c>
      <c r="O32" s="2" t="s">
        <v>164</v>
      </c>
      <c r="P32" s="2" t="s">
        <v>3561</v>
      </c>
    </row>
    <row r="33" spans="1:16" ht="13.2" customHeight="1" x14ac:dyDescent="0.25">
      <c r="A33" s="8" t="s">
        <v>10257</v>
      </c>
      <c r="B33" s="2" t="s">
        <v>19642</v>
      </c>
      <c r="C33" s="2"/>
      <c r="D33" s="2" t="s">
        <v>19507</v>
      </c>
      <c r="E33" s="2" t="s">
        <v>19510</v>
      </c>
      <c r="F33" s="2" t="s">
        <v>19511</v>
      </c>
      <c r="G33" s="2" t="s">
        <v>19512</v>
      </c>
      <c r="H33" s="2" t="s">
        <v>19498</v>
      </c>
      <c r="I33" s="8" t="s">
        <v>84</v>
      </c>
      <c r="J33" s="2" t="s">
        <v>19643</v>
      </c>
      <c r="K33" s="2"/>
      <c r="L33" s="2" t="s">
        <v>4889</v>
      </c>
      <c r="M33" s="2" t="s">
        <v>9</v>
      </c>
      <c r="N33" s="2" t="s">
        <v>19644</v>
      </c>
      <c r="O33" s="2" t="s">
        <v>164</v>
      </c>
      <c r="P33" s="2" t="s">
        <v>3561</v>
      </c>
    </row>
    <row r="34" spans="1:16" ht="13.2" customHeight="1" x14ac:dyDescent="0.25">
      <c r="A34" s="8" t="s">
        <v>10261</v>
      </c>
      <c r="B34" s="2" t="s">
        <v>19645</v>
      </c>
      <c r="C34" s="2"/>
      <c r="D34" s="2" t="s">
        <v>19512</v>
      </c>
      <c r="E34" s="2" t="s">
        <v>19498</v>
      </c>
      <c r="F34" s="2" t="s">
        <v>19499</v>
      </c>
      <c r="G34" s="2" t="s">
        <v>19500</v>
      </c>
      <c r="H34" s="2" t="s">
        <v>19501</v>
      </c>
      <c r="I34" s="8" t="s">
        <v>84</v>
      </c>
      <c r="J34" s="2" t="s">
        <v>19646</v>
      </c>
      <c r="K34" s="2"/>
      <c r="L34" s="2" t="s">
        <v>4889</v>
      </c>
      <c r="M34" s="2" t="s">
        <v>9</v>
      </c>
      <c r="N34" s="2" t="s">
        <v>19647</v>
      </c>
      <c r="O34" s="2" t="s">
        <v>164</v>
      </c>
      <c r="P34" s="2" t="s">
        <v>3561</v>
      </c>
    </row>
    <row r="35" spans="1:16" ht="13.2" customHeight="1" x14ac:dyDescent="0.25">
      <c r="A35" s="8" t="s">
        <v>10267</v>
      </c>
      <c r="B35" s="2" t="s">
        <v>19648</v>
      </c>
      <c r="C35" s="2"/>
      <c r="D35" s="2" t="s">
        <v>19500</v>
      </c>
      <c r="E35" s="2" t="s">
        <v>19501</v>
      </c>
      <c r="F35" s="2" t="s">
        <v>19505</v>
      </c>
      <c r="G35" s="2" t="s">
        <v>19506</v>
      </c>
      <c r="H35" s="2" t="s">
        <v>19507</v>
      </c>
      <c r="I35" s="8" t="s">
        <v>84</v>
      </c>
      <c r="J35" s="2" t="s">
        <v>19649</v>
      </c>
      <c r="K35" s="2"/>
      <c r="L35" s="2" t="s">
        <v>4889</v>
      </c>
      <c r="M35" s="2" t="s">
        <v>9</v>
      </c>
      <c r="N35" s="2" t="s">
        <v>19650</v>
      </c>
      <c r="O35" s="2" t="s">
        <v>164</v>
      </c>
      <c r="P35" s="2" t="s">
        <v>3561</v>
      </c>
    </row>
    <row r="36" spans="1:16" ht="13.2" customHeight="1" x14ac:dyDescent="0.25">
      <c r="A36" s="8" t="s">
        <v>10920</v>
      </c>
      <c r="B36" s="2" t="s">
        <v>19651</v>
      </c>
      <c r="C36" s="2"/>
      <c r="D36" s="2" t="s">
        <v>19506</v>
      </c>
      <c r="E36" s="2" t="s">
        <v>19507</v>
      </c>
      <c r="F36" s="2" t="s">
        <v>19510</v>
      </c>
      <c r="G36" s="2" t="s">
        <v>19511</v>
      </c>
      <c r="H36" s="2" t="s">
        <v>19512</v>
      </c>
      <c r="I36" s="8" t="s">
        <v>84</v>
      </c>
      <c r="J36" s="2" t="s">
        <v>19652</v>
      </c>
      <c r="K36" s="2"/>
      <c r="L36" s="2" t="s">
        <v>4889</v>
      </c>
      <c r="M36" s="2" t="s">
        <v>9</v>
      </c>
      <c r="N36" s="2" t="s">
        <v>19653</v>
      </c>
      <c r="O36" s="2" t="s">
        <v>164</v>
      </c>
      <c r="P36" s="2" t="s">
        <v>3561</v>
      </c>
    </row>
    <row r="37" spans="1:16" ht="13.2" customHeight="1" x14ac:dyDescent="0.25">
      <c r="A37" s="8" t="s">
        <v>10275</v>
      </c>
      <c r="B37" s="2" t="s">
        <v>19654</v>
      </c>
      <c r="C37" s="2"/>
      <c r="D37" s="2" t="s">
        <v>19511</v>
      </c>
      <c r="E37" s="2" t="s">
        <v>19512</v>
      </c>
      <c r="F37" s="2" t="s">
        <v>19498</v>
      </c>
      <c r="G37" s="2" t="s">
        <v>19499</v>
      </c>
      <c r="H37" s="2" t="s">
        <v>19500</v>
      </c>
      <c r="I37" s="8" t="s">
        <v>84</v>
      </c>
      <c r="J37" s="2" t="s">
        <v>19655</v>
      </c>
      <c r="K37" s="2"/>
      <c r="L37" s="2" t="s">
        <v>4889</v>
      </c>
      <c r="M37" s="2" t="s">
        <v>9</v>
      </c>
      <c r="N37" s="2" t="s">
        <v>19656</v>
      </c>
      <c r="O37" s="2" t="s">
        <v>164</v>
      </c>
      <c r="P37" s="2" t="s">
        <v>3561</v>
      </c>
    </row>
    <row r="38" spans="1:16" ht="13.2" customHeight="1" x14ac:dyDescent="0.25">
      <c r="A38" s="8" t="s">
        <v>10285</v>
      </c>
      <c r="B38" s="2" t="s">
        <v>19657</v>
      </c>
      <c r="C38" s="2"/>
      <c r="D38" s="2" t="s">
        <v>19658</v>
      </c>
      <c r="E38" s="2" t="s">
        <v>19659</v>
      </c>
      <c r="F38" s="2" t="s">
        <v>19660</v>
      </c>
      <c r="G38" s="2" t="s">
        <v>19661</v>
      </c>
      <c r="H38" s="2" t="s">
        <v>19662</v>
      </c>
      <c r="I38" s="8" t="s">
        <v>84</v>
      </c>
      <c r="J38" s="2" t="s">
        <v>19663</v>
      </c>
      <c r="K38" s="2"/>
      <c r="L38" s="2" t="s">
        <v>4889</v>
      </c>
      <c r="M38" s="2" t="s">
        <v>9</v>
      </c>
      <c r="N38" s="2" t="s">
        <v>19664</v>
      </c>
      <c r="O38" s="2" t="s">
        <v>164</v>
      </c>
      <c r="P38" s="2" t="s">
        <v>2706</v>
      </c>
    </row>
    <row r="39" spans="1:16" ht="13.2" customHeight="1" x14ac:dyDescent="0.25">
      <c r="A39" s="8" t="s">
        <v>10294</v>
      </c>
      <c r="B39" s="2" t="s">
        <v>19665</v>
      </c>
      <c r="C39" s="2"/>
      <c r="D39" s="2" t="s">
        <v>7048</v>
      </c>
      <c r="E39" s="2" t="s">
        <v>19666</v>
      </c>
      <c r="F39" s="2" t="s">
        <v>7055</v>
      </c>
      <c r="G39" s="2" t="s">
        <v>7056</v>
      </c>
      <c r="H39" s="2" t="s">
        <v>7049</v>
      </c>
      <c r="I39" s="8" t="s">
        <v>84</v>
      </c>
      <c r="J39" s="2" t="s">
        <v>19667</v>
      </c>
      <c r="K39" s="2"/>
      <c r="L39" s="2" t="s">
        <v>4889</v>
      </c>
      <c r="M39" s="2" t="s">
        <v>9</v>
      </c>
      <c r="N39" s="2" t="s">
        <v>19668</v>
      </c>
      <c r="O39" s="2" t="s">
        <v>164</v>
      </c>
      <c r="P39" s="2" t="s">
        <v>2706</v>
      </c>
    </row>
    <row r="40" spans="1:16" ht="13.2" customHeight="1" x14ac:dyDescent="0.25">
      <c r="A40" s="8" t="s">
        <v>10302</v>
      </c>
      <c r="B40" s="2" t="s">
        <v>19669</v>
      </c>
      <c r="C40" s="2"/>
      <c r="D40" s="2" t="s">
        <v>19670</v>
      </c>
      <c r="E40" s="2" t="s">
        <v>19671</v>
      </c>
      <c r="F40" s="2" t="s">
        <v>19672</v>
      </c>
      <c r="G40" s="2" t="s">
        <v>19673</v>
      </c>
      <c r="H40" s="2" t="s">
        <v>19674</v>
      </c>
      <c r="I40" s="8" t="s">
        <v>84</v>
      </c>
      <c r="J40" s="2" t="s">
        <v>19675</v>
      </c>
      <c r="K40" s="2"/>
      <c r="L40" s="2" t="s">
        <v>4889</v>
      </c>
      <c r="M40" s="2" t="s">
        <v>9</v>
      </c>
      <c r="N40" s="2" t="s">
        <v>19676</v>
      </c>
      <c r="O40" s="2" t="s">
        <v>164</v>
      </c>
      <c r="P40" s="2" t="s">
        <v>2706</v>
      </c>
    </row>
    <row r="41" spans="1:16" ht="13.2" customHeight="1" x14ac:dyDescent="0.25">
      <c r="A41" s="8" t="s">
        <v>10309</v>
      </c>
      <c r="B41" s="2" t="s">
        <v>19677</v>
      </c>
      <c r="C41" s="2"/>
      <c r="D41" s="2" t="s">
        <v>6776</v>
      </c>
      <c r="E41" s="2" t="s">
        <v>2982</v>
      </c>
      <c r="F41" s="2" t="s">
        <v>2983</v>
      </c>
      <c r="G41" s="2" t="s">
        <v>2984</v>
      </c>
      <c r="H41" s="2" t="s">
        <v>19678</v>
      </c>
      <c r="I41" s="8" t="s">
        <v>84</v>
      </c>
      <c r="J41" s="2" t="s">
        <v>19679</v>
      </c>
      <c r="K41" s="2"/>
      <c r="L41" s="2" t="s">
        <v>4889</v>
      </c>
      <c r="M41" s="2" t="s">
        <v>9</v>
      </c>
      <c r="N41" s="2" t="s">
        <v>19680</v>
      </c>
      <c r="O41" s="2" t="s">
        <v>164</v>
      </c>
      <c r="P41" s="2" t="s">
        <v>2706</v>
      </c>
    </row>
    <row r="42" spans="1:16" ht="13.2" customHeight="1" x14ac:dyDescent="0.25">
      <c r="A42" s="8" t="s">
        <v>10316</v>
      </c>
      <c r="B42" s="2" t="s">
        <v>19681</v>
      </c>
      <c r="C42" s="2"/>
      <c r="D42" s="2" t="s">
        <v>19682</v>
      </c>
      <c r="E42" s="2" t="s">
        <v>19683</v>
      </c>
      <c r="F42" s="2" t="s">
        <v>19684</v>
      </c>
      <c r="G42" s="2" t="s">
        <v>19685</v>
      </c>
      <c r="H42" s="2" t="s">
        <v>19685</v>
      </c>
      <c r="I42" s="8" t="s">
        <v>84</v>
      </c>
      <c r="J42" s="2" t="s">
        <v>19686</v>
      </c>
      <c r="K42" s="2"/>
      <c r="L42" s="2" t="s">
        <v>4889</v>
      </c>
      <c r="M42" s="2" t="s">
        <v>9</v>
      </c>
      <c r="N42" s="2" t="s">
        <v>19687</v>
      </c>
      <c r="O42" s="2" t="s">
        <v>164</v>
      </c>
      <c r="P42" s="2" t="s">
        <v>2706</v>
      </c>
    </row>
    <row r="43" spans="1:16" ht="13.2" customHeight="1" x14ac:dyDescent="0.25">
      <c r="A43" s="8" t="s">
        <v>10323</v>
      </c>
      <c r="B43" s="2" t="s">
        <v>19688</v>
      </c>
      <c r="C43" s="2"/>
      <c r="D43" s="2" t="s">
        <v>3850</v>
      </c>
      <c r="E43" s="2" t="s">
        <v>3851</v>
      </c>
      <c r="F43" s="2" t="s">
        <v>3852</v>
      </c>
      <c r="G43" s="2" t="s">
        <v>3853</v>
      </c>
      <c r="H43" s="2" t="s">
        <v>3854</v>
      </c>
      <c r="I43" s="8" t="s">
        <v>84</v>
      </c>
      <c r="J43" s="2" t="s">
        <v>19689</v>
      </c>
      <c r="K43" s="2"/>
      <c r="L43" s="2" t="s">
        <v>4889</v>
      </c>
      <c r="M43" s="2" t="s">
        <v>9</v>
      </c>
      <c r="N43" s="2" t="s">
        <v>19690</v>
      </c>
      <c r="O43" s="2" t="s">
        <v>164</v>
      </c>
      <c r="P43" s="2" t="s">
        <v>2706</v>
      </c>
    </row>
    <row r="44" spans="1:16" ht="13.2" customHeight="1" x14ac:dyDescent="0.25">
      <c r="A44" s="8" t="s">
        <v>10327</v>
      </c>
      <c r="B44" s="2" t="s">
        <v>19691</v>
      </c>
      <c r="C44" s="2"/>
      <c r="D44" s="2" t="s">
        <v>19512</v>
      </c>
      <c r="E44" s="2" t="s">
        <v>19498</v>
      </c>
      <c r="F44" s="2" t="s">
        <v>19499</v>
      </c>
      <c r="G44" s="2" t="s">
        <v>19500</v>
      </c>
      <c r="H44" s="2" t="s">
        <v>19501</v>
      </c>
      <c r="I44" s="8" t="s">
        <v>84</v>
      </c>
      <c r="J44" s="2" t="s">
        <v>19692</v>
      </c>
      <c r="K44" s="2"/>
      <c r="L44" s="2" t="s">
        <v>4889</v>
      </c>
      <c r="M44" s="2" t="s">
        <v>9</v>
      </c>
      <c r="N44" s="2" t="s">
        <v>3603</v>
      </c>
      <c r="O44" s="2" t="s">
        <v>164</v>
      </c>
      <c r="P44" s="2" t="s">
        <v>2706</v>
      </c>
    </row>
    <row r="45" spans="1:16" ht="13.2" customHeight="1" x14ac:dyDescent="0.25">
      <c r="A45" s="8" t="s">
        <v>10333</v>
      </c>
      <c r="B45" s="2" t="s">
        <v>19693</v>
      </c>
      <c r="C45" s="2"/>
      <c r="D45" s="2" t="s">
        <v>19500</v>
      </c>
      <c r="E45" s="2" t="s">
        <v>19501</v>
      </c>
      <c r="F45" s="2" t="s">
        <v>19505</v>
      </c>
      <c r="G45" s="2" t="s">
        <v>19506</v>
      </c>
      <c r="H45" s="2" t="s">
        <v>19507</v>
      </c>
      <c r="I45" s="8" t="s">
        <v>84</v>
      </c>
      <c r="J45" s="2" t="s">
        <v>19649</v>
      </c>
      <c r="K45" s="2"/>
      <c r="L45" s="2" t="s">
        <v>4889</v>
      </c>
      <c r="M45" s="2" t="s">
        <v>9</v>
      </c>
      <c r="N45" s="2" t="s">
        <v>7452</v>
      </c>
      <c r="O45" s="2" t="s">
        <v>164</v>
      </c>
      <c r="P45" s="2" t="s">
        <v>2706</v>
      </c>
    </row>
    <row r="46" spans="1:16" ht="13.2" customHeight="1" x14ac:dyDescent="0.25">
      <c r="A46" s="8" t="s">
        <v>10340</v>
      </c>
      <c r="B46" s="2" t="s">
        <v>19659</v>
      </c>
      <c r="C46" s="2"/>
      <c r="D46" s="2" t="s">
        <v>19506</v>
      </c>
      <c r="E46" s="2" t="s">
        <v>19507</v>
      </c>
      <c r="F46" s="2" t="s">
        <v>19510</v>
      </c>
      <c r="G46" s="2" t="s">
        <v>19511</v>
      </c>
      <c r="H46" s="2" t="s">
        <v>19512</v>
      </c>
      <c r="I46" s="8" t="s">
        <v>84</v>
      </c>
      <c r="J46" s="2" t="s">
        <v>19652</v>
      </c>
      <c r="K46" s="2"/>
      <c r="L46" s="2" t="s">
        <v>4889</v>
      </c>
      <c r="M46" s="2" t="s">
        <v>9</v>
      </c>
      <c r="N46" s="2" t="s">
        <v>9020</v>
      </c>
      <c r="O46" s="2" t="s">
        <v>164</v>
      </c>
      <c r="P46" s="2" t="s">
        <v>2706</v>
      </c>
    </row>
    <row r="47" spans="1:16" ht="13.2" customHeight="1" x14ac:dyDescent="0.25">
      <c r="A47" s="8" t="s">
        <v>10354</v>
      </c>
      <c r="B47" s="2" t="s">
        <v>19694</v>
      </c>
      <c r="C47" s="2"/>
      <c r="D47" s="2" t="s">
        <v>19511</v>
      </c>
      <c r="E47" s="2" t="s">
        <v>19512</v>
      </c>
      <c r="F47" s="2" t="s">
        <v>19498</v>
      </c>
      <c r="G47" s="2" t="s">
        <v>19499</v>
      </c>
      <c r="H47" s="2" t="s">
        <v>19500</v>
      </c>
      <c r="I47" s="8" t="s">
        <v>84</v>
      </c>
      <c r="J47" s="2" t="s">
        <v>19655</v>
      </c>
      <c r="K47" s="2"/>
      <c r="L47" s="2" t="s">
        <v>4889</v>
      </c>
      <c r="M47" s="2" t="s">
        <v>9</v>
      </c>
      <c r="N47" s="2" t="s">
        <v>6873</v>
      </c>
      <c r="O47" s="2" t="s">
        <v>164</v>
      </c>
      <c r="P47" s="2" t="s">
        <v>2706</v>
      </c>
    </row>
    <row r="48" spans="1:16" ht="13.2" customHeight="1" x14ac:dyDescent="0.25">
      <c r="A48" s="8" t="s">
        <v>10363</v>
      </c>
      <c r="B48" s="2" t="s">
        <v>19695</v>
      </c>
      <c r="C48" s="2"/>
      <c r="D48" s="2" t="s">
        <v>19499</v>
      </c>
      <c r="E48" s="2" t="s">
        <v>19500</v>
      </c>
      <c r="F48" s="2" t="s">
        <v>19501</v>
      </c>
      <c r="G48" s="2" t="s">
        <v>19505</v>
      </c>
      <c r="H48" s="2" t="s">
        <v>19506</v>
      </c>
      <c r="I48" s="8" t="s">
        <v>84</v>
      </c>
      <c r="J48" s="2" t="s">
        <v>19696</v>
      </c>
      <c r="K48" s="2"/>
      <c r="L48" s="2" t="s">
        <v>4889</v>
      </c>
      <c r="M48" s="2" t="s">
        <v>9</v>
      </c>
      <c r="N48" s="2" t="s">
        <v>3595</v>
      </c>
      <c r="O48" s="2" t="s">
        <v>164</v>
      </c>
      <c r="P48" s="2" t="s">
        <v>2706</v>
      </c>
    </row>
    <row r="49" spans="1:16" ht="13.2" customHeight="1" x14ac:dyDescent="0.25">
      <c r="A49" s="8" t="s">
        <v>10368</v>
      </c>
      <c r="B49" s="2" t="s">
        <v>19661</v>
      </c>
      <c r="C49" s="2"/>
      <c r="D49" s="2" t="s">
        <v>19505</v>
      </c>
      <c r="E49" s="2" t="s">
        <v>19506</v>
      </c>
      <c r="F49" s="2" t="s">
        <v>19507</v>
      </c>
      <c r="G49" s="2" t="s">
        <v>19510</v>
      </c>
      <c r="H49" s="2" t="s">
        <v>19511</v>
      </c>
      <c r="I49" s="8" t="s">
        <v>84</v>
      </c>
      <c r="J49" s="2" t="s">
        <v>19697</v>
      </c>
      <c r="K49" s="2"/>
      <c r="L49" s="2" t="s">
        <v>4889</v>
      </c>
      <c r="M49" s="2" t="s">
        <v>9</v>
      </c>
      <c r="N49" s="2" t="s">
        <v>3603</v>
      </c>
      <c r="O49" s="2" t="s">
        <v>164</v>
      </c>
      <c r="P49" s="2" t="s">
        <v>2706</v>
      </c>
    </row>
    <row r="50" spans="1:16" ht="13.2" customHeight="1" x14ac:dyDescent="0.25">
      <c r="A50" s="8" t="s">
        <v>10373</v>
      </c>
      <c r="B50" s="2" t="s">
        <v>19698</v>
      </c>
      <c r="C50" s="2"/>
      <c r="D50" s="2" t="s">
        <v>19510</v>
      </c>
      <c r="E50" s="2" t="s">
        <v>19511</v>
      </c>
      <c r="F50" s="2" t="s">
        <v>19512</v>
      </c>
      <c r="G50" s="2" t="s">
        <v>19498</v>
      </c>
      <c r="H50" s="2" t="s">
        <v>19499</v>
      </c>
      <c r="I50" s="8" t="s">
        <v>84</v>
      </c>
      <c r="J50" s="2" t="s">
        <v>19699</v>
      </c>
      <c r="K50" s="2"/>
      <c r="L50" s="2" t="s">
        <v>4889</v>
      </c>
      <c r="M50" s="2" t="s">
        <v>9</v>
      </c>
      <c r="N50" s="2" t="s">
        <v>3595</v>
      </c>
      <c r="O50" s="2" t="s">
        <v>164</v>
      </c>
      <c r="P50" s="2" t="s">
        <v>2706</v>
      </c>
    </row>
    <row r="51" spans="1:16" ht="13.2" customHeight="1" x14ac:dyDescent="0.25">
      <c r="A51" s="8" t="s">
        <v>10380</v>
      </c>
      <c r="B51" s="2" t="s">
        <v>19700</v>
      </c>
      <c r="C51" s="2"/>
      <c r="D51" s="2" t="s">
        <v>19498</v>
      </c>
      <c r="E51" s="2" t="s">
        <v>19499</v>
      </c>
      <c r="F51" s="2" t="s">
        <v>19500</v>
      </c>
      <c r="G51" s="2" t="s">
        <v>19501</v>
      </c>
      <c r="H51" s="2" t="s">
        <v>19505</v>
      </c>
      <c r="I51" s="8" t="s">
        <v>84</v>
      </c>
      <c r="J51" s="2" t="s">
        <v>19637</v>
      </c>
      <c r="K51" s="2"/>
      <c r="L51" s="2" t="s">
        <v>4889</v>
      </c>
      <c r="M51" s="2" t="s">
        <v>9</v>
      </c>
      <c r="N51" s="2" t="s">
        <v>3595</v>
      </c>
      <c r="O51" s="2" t="s">
        <v>164</v>
      </c>
      <c r="P51" s="2" t="s">
        <v>2706</v>
      </c>
    </row>
    <row r="52" spans="1:16" ht="13.2" customHeight="1" x14ac:dyDescent="0.25">
      <c r="A52" s="8" t="s">
        <v>8862</v>
      </c>
      <c r="B52" s="2" t="s">
        <v>19701</v>
      </c>
      <c r="C52" s="2"/>
      <c r="D52" s="2" t="s">
        <v>19501</v>
      </c>
      <c r="E52" s="2" t="s">
        <v>19505</v>
      </c>
      <c r="F52" s="2" t="s">
        <v>19506</v>
      </c>
      <c r="G52" s="2" t="s">
        <v>19507</v>
      </c>
      <c r="H52" s="2" t="s">
        <v>19510</v>
      </c>
      <c r="I52" s="8" t="s">
        <v>84</v>
      </c>
      <c r="J52" s="2" t="s">
        <v>19640</v>
      </c>
      <c r="K52" s="2"/>
      <c r="L52" s="2" t="s">
        <v>4889</v>
      </c>
      <c r="M52" s="2" t="s">
        <v>9</v>
      </c>
      <c r="N52" s="2" t="s">
        <v>3603</v>
      </c>
      <c r="O52" s="2" t="s">
        <v>164</v>
      </c>
      <c r="P52" s="2" t="s">
        <v>2706</v>
      </c>
    </row>
    <row r="53" spans="1:16" ht="13.2" customHeight="1" x14ac:dyDescent="0.25">
      <c r="A53" s="8" t="s">
        <v>10397</v>
      </c>
      <c r="B53" s="2" t="s">
        <v>19702</v>
      </c>
      <c r="C53" s="2"/>
      <c r="D53" s="2" t="s">
        <v>19507</v>
      </c>
      <c r="E53" s="2" t="s">
        <v>19510</v>
      </c>
      <c r="F53" s="2" t="s">
        <v>19511</v>
      </c>
      <c r="G53" s="2" t="s">
        <v>19512</v>
      </c>
      <c r="H53" s="2" t="s">
        <v>19498</v>
      </c>
      <c r="I53" s="8" t="s">
        <v>84</v>
      </c>
      <c r="J53" s="2" t="s">
        <v>19643</v>
      </c>
      <c r="K53" s="2"/>
      <c r="L53" s="2" t="s">
        <v>4889</v>
      </c>
      <c r="M53" s="2" t="s">
        <v>9</v>
      </c>
      <c r="N53" s="2" t="s">
        <v>9890</v>
      </c>
      <c r="O53" s="2" t="s">
        <v>164</v>
      </c>
      <c r="P53" s="2" t="s">
        <v>2706</v>
      </c>
    </row>
    <row r="54" spans="1:16" ht="13.2" customHeight="1" x14ac:dyDescent="0.25">
      <c r="A54" s="8" t="s">
        <v>10405</v>
      </c>
      <c r="B54" s="2" t="s">
        <v>19703</v>
      </c>
      <c r="C54" s="2"/>
      <c r="D54" s="2" t="s">
        <v>19512</v>
      </c>
      <c r="E54" s="2" t="s">
        <v>19498</v>
      </c>
      <c r="F54" s="2" t="s">
        <v>19499</v>
      </c>
      <c r="G54" s="2" t="s">
        <v>19500</v>
      </c>
      <c r="H54" s="2" t="s">
        <v>19501</v>
      </c>
      <c r="I54" s="8" t="s">
        <v>84</v>
      </c>
      <c r="J54" s="2" t="s">
        <v>19704</v>
      </c>
      <c r="K54" s="2"/>
      <c r="L54" s="2" t="s">
        <v>4889</v>
      </c>
      <c r="M54" s="2" t="s">
        <v>9</v>
      </c>
      <c r="N54" s="2" t="s">
        <v>17818</v>
      </c>
      <c r="O54" s="2" t="s">
        <v>164</v>
      </c>
      <c r="P54" s="2" t="s">
        <v>2706</v>
      </c>
    </row>
    <row r="55" spans="1:16" ht="13.2" customHeight="1" x14ac:dyDescent="0.25">
      <c r="A55" s="8" t="s">
        <v>10411</v>
      </c>
      <c r="B55" s="2" t="s">
        <v>19705</v>
      </c>
      <c r="C55" s="2"/>
      <c r="D55" s="2" t="s">
        <v>19500</v>
      </c>
      <c r="E55" s="2" t="s">
        <v>19501</v>
      </c>
      <c r="F55" s="2" t="s">
        <v>19505</v>
      </c>
      <c r="G55" s="2" t="s">
        <v>19506</v>
      </c>
      <c r="H55" s="2" t="s">
        <v>19507</v>
      </c>
      <c r="I55" s="8" t="s">
        <v>84</v>
      </c>
      <c r="J55" s="2" t="s">
        <v>19706</v>
      </c>
      <c r="K55" s="2"/>
      <c r="L55" s="2" t="s">
        <v>4889</v>
      </c>
      <c r="M55" s="2" t="s">
        <v>9</v>
      </c>
      <c r="N55" s="2" t="s">
        <v>3595</v>
      </c>
      <c r="O55" s="2" t="s">
        <v>164</v>
      </c>
      <c r="P55" s="2" t="s">
        <v>2706</v>
      </c>
    </row>
    <row r="56" spans="1:16" ht="13.2" customHeight="1" x14ac:dyDescent="0.25">
      <c r="A56" s="8" t="s">
        <v>10419</v>
      </c>
      <c r="B56" s="2" t="s">
        <v>19707</v>
      </c>
      <c r="C56" s="2"/>
      <c r="D56" s="2" t="s">
        <v>19506</v>
      </c>
      <c r="E56" s="2" t="s">
        <v>19507</v>
      </c>
      <c r="F56" s="2" t="s">
        <v>19510</v>
      </c>
      <c r="G56" s="2" t="s">
        <v>19511</v>
      </c>
      <c r="H56" s="2" t="s">
        <v>19512</v>
      </c>
      <c r="I56" s="8" t="s">
        <v>84</v>
      </c>
      <c r="J56" s="2" t="s">
        <v>19652</v>
      </c>
      <c r="K56" s="2"/>
      <c r="L56" s="2" t="s">
        <v>4889</v>
      </c>
      <c r="M56" s="2" t="s">
        <v>9</v>
      </c>
      <c r="N56" s="2" t="s">
        <v>16859</v>
      </c>
      <c r="O56" s="2" t="s">
        <v>164</v>
      </c>
      <c r="P56" s="2" t="s">
        <v>2706</v>
      </c>
    </row>
    <row r="57" spans="1:16" ht="13.2" customHeight="1" x14ac:dyDescent="0.25">
      <c r="A57" s="8" t="s">
        <v>10427</v>
      </c>
      <c r="B57" s="2" t="s">
        <v>19708</v>
      </c>
      <c r="C57" s="2"/>
      <c r="D57" s="2" t="s">
        <v>19511</v>
      </c>
      <c r="E57" s="2" t="s">
        <v>19512</v>
      </c>
      <c r="F57" s="2" t="s">
        <v>19498</v>
      </c>
      <c r="G57" s="2" t="s">
        <v>19499</v>
      </c>
      <c r="H57" s="2" t="s">
        <v>19500</v>
      </c>
      <c r="I57" s="8" t="s">
        <v>84</v>
      </c>
      <c r="J57" s="2" t="s">
        <v>19655</v>
      </c>
      <c r="K57" s="2"/>
      <c r="L57" s="2" t="s">
        <v>4889</v>
      </c>
      <c r="M57" s="2" t="s">
        <v>9</v>
      </c>
      <c r="N57" s="2" t="s">
        <v>12019</v>
      </c>
      <c r="O57" s="2" t="s">
        <v>164</v>
      </c>
      <c r="P57" s="2" t="s">
        <v>2706</v>
      </c>
    </row>
    <row r="58" spans="1:16" ht="13.2" customHeight="1" x14ac:dyDescent="0.25">
      <c r="A58" s="8" t="s">
        <v>10431</v>
      </c>
      <c r="B58" s="2" t="s">
        <v>19709</v>
      </c>
      <c r="C58" s="2"/>
      <c r="D58" s="2" t="s">
        <v>19710</v>
      </c>
      <c r="E58" s="2" t="s">
        <v>19711</v>
      </c>
      <c r="F58" s="2" t="s">
        <v>19712</v>
      </c>
      <c r="G58" s="2" t="s">
        <v>19713</v>
      </c>
      <c r="H58" s="2" t="s">
        <v>19714</v>
      </c>
      <c r="I58" s="8" t="s">
        <v>84</v>
      </c>
      <c r="J58" s="2" t="s">
        <v>19715</v>
      </c>
      <c r="K58" s="2"/>
      <c r="L58" s="2" t="s">
        <v>4889</v>
      </c>
      <c r="M58" s="2" t="s">
        <v>9</v>
      </c>
      <c r="N58" s="2" t="s">
        <v>6974</v>
      </c>
      <c r="O58" s="2" t="s">
        <v>816</v>
      </c>
      <c r="P58" s="2" t="s">
        <v>2710</v>
      </c>
    </row>
    <row r="59" spans="1:16" ht="13.2" customHeight="1" x14ac:dyDescent="0.25">
      <c r="A59" s="8" t="s">
        <v>10436</v>
      </c>
      <c r="B59" s="2" t="s">
        <v>19716</v>
      </c>
      <c r="C59" s="2"/>
      <c r="D59" s="2" t="s">
        <v>7055</v>
      </c>
      <c r="E59" s="2" t="s">
        <v>7049</v>
      </c>
      <c r="F59" s="2" t="s">
        <v>19558</v>
      </c>
      <c r="G59" s="2" t="s">
        <v>7056</v>
      </c>
      <c r="H59" s="2" t="s">
        <v>19563</v>
      </c>
      <c r="I59" s="8" t="s">
        <v>84</v>
      </c>
      <c r="J59" s="2" t="s">
        <v>19717</v>
      </c>
      <c r="K59" s="2"/>
      <c r="L59" s="2" t="s">
        <v>4889</v>
      </c>
      <c r="M59" s="2" t="s">
        <v>9</v>
      </c>
      <c r="N59" s="2" t="s">
        <v>3856</v>
      </c>
      <c r="O59" s="2" t="s">
        <v>816</v>
      </c>
      <c r="P59" s="2" t="s">
        <v>2710</v>
      </c>
    </row>
    <row r="60" spans="1:16" ht="13.2" customHeight="1" x14ac:dyDescent="0.25">
      <c r="A60" s="8" t="s">
        <v>10440</v>
      </c>
      <c r="B60" s="2" t="s">
        <v>19718</v>
      </c>
      <c r="C60" s="2"/>
      <c r="D60" s="2" t="s">
        <v>19719</v>
      </c>
      <c r="E60" s="2" t="s">
        <v>19720</v>
      </c>
      <c r="F60" s="2" t="s">
        <v>19721</v>
      </c>
      <c r="G60" s="2" t="s">
        <v>19722</v>
      </c>
      <c r="H60" s="2" t="s">
        <v>19723</v>
      </c>
      <c r="I60" s="8" t="s">
        <v>84</v>
      </c>
      <c r="J60" s="2" t="s">
        <v>19724</v>
      </c>
      <c r="K60" s="2"/>
      <c r="L60" s="2" t="s">
        <v>4889</v>
      </c>
      <c r="M60" s="2" t="s">
        <v>9</v>
      </c>
      <c r="N60" s="2" t="s">
        <v>3811</v>
      </c>
      <c r="O60" s="2" t="s">
        <v>816</v>
      </c>
      <c r="P60" s="2" t="s">
        <v>2710</v>
      </c>
    </row>
    <row r="61" spans="1:16" ht="13.2" customHeight="1" x14ac:dyDescent="0.25">
      <c r="A61" s="8" t="s">
        <v>10445</v>
      </c>
      <c r="B61" s="2" t="s">
        <v>19725</v>
      </c>
      <c r="C61" s="2"/>
      <c r="D61" s="2" t="s">
        <v>19726</v>
      </c>
      <c r="E61" s="2" t="s">
        <v>19727</v>
      </c>
      <c r="F61" s="2" t="s">
        <v>19728</v>
      </c>
      <c r="G61" s="2" t="s">
        <v>19729</v>
      </c>
      <c r="H61" s="2" t="s">
        <v>19730</v>
      </c>
      <c r="I61" s="8" t="s">
        <v>84</v>
      </c>
      <c r="J61" s="2" t="s">
        <v>19731</v>
      </c>
      <c r="K61" s="2"/>
      <c r="L61" s="2" t="s">
        <v>4889</v>
      </c>
      <c r="M61" s="2" t="s">
        <v>9</v>
      </c>
      <c r="N61" s="2" t="s">
        <v>9143</v>
      </c>
      <c r="O61" s="2" t="s">
        <v>816</v>
      </c>
      <c r="P61" s="2" t="s">
        <v>2710</v>
      </c>
    </row>
    <row r="62" spans="1:16" ht="13.2" customHeight="1" x14ac:dyDescent="0.25">
      <c r="A62" s="8" t="s">
        <v>10450</v>
      </c>
      <c r="B62" s="2" t="s">
        <v>19732</v>
      </c>
      <c r="C62" s="2"/>
      <c r="D62" s="2" t="s">
        <v>19733</v>
      </c>
      <c r="E62" s="2" t="s">
        <v>19734</v>
      </c>
      <c r="F62" s="2" t="s">
        <v>19735</v>
      </c>
      <c r="G62" s="2" t="s">
        <v>19736</v>
      </c>
      <c r="H62" s="2" t="s">
        <v>19737</v>
      </c>
      <c r="I62" s="8" t="s">
        <v>84</v>
      </c>
      <c r="J62" s="2" t="s">
        <v>19738</v>
      </c>
      <c r="K62" s="2"/>
      <c r="L62" s="2" t="s">
        <v>4889</v>
      </c>
      <c r="M62" s="2" t="s">
        <v>9</v>
      </c>
      <c r="N62" s="2" t="s">
        <v>10530</v>
      </c>
      <c r="O62" s="2" t="s">
        <v>816</v>
      </c>
      <c r="P62" s="2" t="s">
        <v>2710</v>
      </c>
    </row>
    <row r="63" spans="1:16" ht="13.2" customHeight="1" x14ac:dyDescent="0.25">
      <c r="A63" s="8" t="s">
        <v>10454</v>
      </c>
      <c r="B63" s="2" t="s">
        <v>19739</v>
      </c>
      <c r="C63" s="2"/>
      <c r="D63" s="2" t="s">
        <v>19740</v>
      </c>
      <c r="E63" s="2" t="s">
        <v>19741</v>
      </c>
      <c r="F63" s="2" t="s">
        <v>19742</v>
      </c>
      <c r="G63" s="2" t="s">
        <v>19743</v>
      </c>
      <c r="H63" s="2" t="s">
        <v>19744</v>
      </c>
      <c r="I63" s="8" t="s">
        <v>90</v>
      </c>
      <c r="J63" s="2" t="s">
        <v>19745</v>
      </c>
      <c r="K63" s="2"/>
      <c r="L63" s="2" t="s">
        <v>4889</v>
      </c>
      <c r="M63" s="2" t="s">
        <v>9</v>
      </c>
      <c r="N63" s="2" t="s">
        <v>1646</v>
      </c>
      <c r="O63" s="2" t="s">
        <v>816</v>
      </c>
      <c r="P63" s="2" t="s">
        <v>2710</v>
      </c>
    </row>
    <row r="64" spans="1:16" ht="13.2" customHeight="1" x14ac:dyDescent="0.25">
      <c r="A64" s="8" t="s">
        <v>10457</v>
      </c>
      <c r="B64" s="2" t="s">
        <v>19746</v>
      </c>
      <c r="C64" s="2"/>
      <c r="D64" s="2" t="s">
        <v>19512</v>
      </c>
      <c r="E64" s="2" t="s">
        <v>19498</v>
      </c>
      <c r="F64" s="2" t="s">
        <v>19499</v>
      </c>
      <c r="G64" s="2" t="s">
        <v>19500</v>
      </c>
      <c r="H64" s="2" t="s">
        <v>19501</v>
      </c>
      <c r="I64" s="8" t="s">
        <v>84</v>
      </c>
      <c r="J64" s="2" t="s">
        <v>19692</v>
      </c>
      <c r="K64" s="2"/>
      <c r="L64" s="2" t="s">
        <v>4889</v>
      </c>
      <c r="M64" s="2" t="s">
        <v>9</v>
      </c>
      <c r="N64" s="2" t="s">
        <v>13786</v>
      </c>
      <c r="O64" s="2" t="s">
        <v>816</v>
      </c>
      <c r="P64" s="2" t="s">
        <v>2710</v>
      </c>
    </row>
    <row r="65" spans="1:16" ht="13.2" customHeight="1" x14ac:dyDescent="0.25">
      <c r="A65" s="8" t="s">
        <v>10461</v>
      </c>
      <c r="B65" s="2" t="s">
        <v>19747</v>
      </c>
      <c r="C65" s="2"/>
      <c r="D65" s="2" t="s">
        <v>19500</v>
      </c>
      <c r="E65" s="2" t="s">
        <v>19501</v>
      </c>
      <c r="F65" s="2" t="s">
        <v>19505</v>
      </c>
      <c r="G65" s="2" t="s">
        <v>19506</v>
      </c>
      <c r="H65" s="2" t="s">
        <v>19507</v>
      </c>
      <c r="I65" s="8" t="s">
        <v>123</v>
      </c>
      <c r="J65" s="2" t="s">
        <v>19748</v>
      </c>
      <c r="K65" s="2"/>
      <c r="L65" s="2" t="s">
        <v>4889</v>
      </c>
      <c r="M65" s="2" t="s">
        <v>9</v>
      </c>
      <c r="N65" s="2" t="s">
        <v>9143</v>
      </c>
      <c r="O65" s="2" t="s">
        <v>816</v>
      </c>
      <c r="P65" s="2" t="s">
        <v>2710</v>
      </c>
    </row>
    <row r="66" spans="1:16" ht="13.2" customHeight="1" x14ac:dyDescent="0.25">
      <c r="A66" s="8" t="s">
        <v>10465</v>
      </c>
      <c r="B66" s="2" t="s">
        <v>19749</v>
      </c>
      <c r="C66" s="2"/>
      <c r="D66" s="2" t="s">
        <v>19506</v>
      </c>
      <c r="E66" s="2" t="s">
        <v>19507</v>
      </c>
      <c r="F66" s="2" t="s">
        <v>19510</v>
      </c>
      <c r="G66" s="2" t="s">
        <v>19511</v>
      </c>
      <c r="H66" s="2" t="s">
        <v>19512</v>
      </c>
      <c r="I66" s="8" t="s">
        <v>90</v>
      </c>
      <c r="J66" s="2" t="s">
        <v>19750</v>
      </c>
      <c r="K66" s="2"/>
      <c r="L66" s="2" t="s">
        <v>4889</v>
      </c>
      <c r="M66" s="2" t="s">
        <v>9</v>
      </c>
      <c r="N66" s="2" t="s">
        <v>10530</v>
      </c>
      <c r="O66" s="2" t="s">
        <v>816</v>
      </c>
      <c r="P66" s="2" t="s">
        <v>2710</v>
      </c>
    </row>
    <row r="67" spans="1:16" ht="13.2" customHeight="1" x14ac:dyDescent="0.25">
      <c r="A67" s="8" t="s">
        <v>10468</v>
      </c>
      <c r="B67" s="2" t="s">
        <v>19751</v>
      </c>
      <c r="C67" s="2"/>
      <c r="D67" s="2" t="s">
        <v>19511</v>
      </c>
      <c r="E67" s="2" t="s">
        <v>19512</v>
      </c>
      <c r="F67" s="2" t="s">
        <v>19498</v>
      </c>
      <c r="G67" s="2" t="s">
        <v>19499</v>
      </c>
      <c r="H67" s="2" t="s">
        <v>19500</v>
      </c>
      <c r="I67" s="8" t="s">
        <v>84</v>
      </c>
      <c r="J67" s="2" t="s">
        <v>19655</v>
      </c>
      <c r="K67" s="2"/>
      <c r="L67" s="2" t="s">
        <v>4889</v>
      </c>
      <c r="M67" s="2" t="s">
        <v>9</v>
      </c>
      <c r="N67" s="2" t="s">
        <v>1669</v>
      </c>
      <c r="O67" s="2" t="s">
        <v>816</v>
      </c>
      <c r="P67" s="2" t="s">
        <v>2711</v>
      </c>
    </row>
    <row r="68" spans="1:16" ht="13.2" customHeight="1" x14ac:dyDescent="0.25">
      <c r="A68" s="8" t="s">
        <v>10470</v>
      </c>
      <c r="B68" s="2" t="s">
        <v>19693</v>
      </c>
      <c r="C68" s="2"/>
      <c r="D68" s="2" t="s">
        <v>19499</v>
      </c>
      <c r="E68" s="2" t="s">
        <v>19500</v>
      </c>
      <c r="F68" s="2" t="s">
        <v>19501</v>
      </c>
      <c r="G68" s="2" t="s">
        <v>19505</v>
      </c>
      <c r="H68" s="2" t="s">
        <v>19506</v>
      </c>
      <c r="I68" s="8" t="s">
        <v>84</v>
      </c>
      <c r="J68" s="2" t="s">
        <v>19752</v>
      </c>
      <c r="K68" s="2"/>
      <c r="L68" s="2" t="s">
        <v>4889</v>
      </c>
      <c r="M68" s="2" t="s">
        <v>9</v>
      </c>
      <c r="N68" s="2" t="s">
        <v>3936</v>
      </c>
      <c r="O68" s="2" t="s">
        <v>816</v>
      </c>
      <c r="P68" s="2" t="s">
        <v>2711</v>
      </c>
    </row>
    <row r="69" spans="1:16" ht="13.2" customHeight="1" x14ac:dyDescent="0.25">
      <c r="A69" s="8" t="s">
        <v>10478</v>
      </c>
      <c r="B69" s="2" t="s">
        <v>19698</v>
      </c>
      <c r="C69" s="2"/>
      <c r="D69" s="2" t="s">
        <v>19505</v>
      </c>
      <c r="E69" s="2" t="s">
        <v>19506</v>
      </c>
      <c r="F69" s="2" t="s">
        <v>19507</v>
      </c>
      <c r="G69" s="2" t="s">
        <v>19510</v>
      </c>
      <c r="H69" s="2" t="s">
        <v>19511</v>
      </c>
      <c r="I69" s="8" t="s">
        <v>84</v>
      </c>
      <c r="J69" s="2" t="s">
        <v>19753</v>
      </c>
      <c r="K69" s="2"/>
      <c r="L69" s="2" t="s">
        <v>4889</v>
      </c>
      <c r="M69" s="2" t="s">
        <v>9</v>
      </c>
      <c r="N69" s="2" t="s">
        <v>3887</v>
      </c>
      <c r="O69" s="2" t="s">
        <v>816</v>
      </c>
      <c r="P69" s="2" t="s">
        <v>2711</v>
      </c>
    </row>
    <row r="70" spans="1:16" ht="13.2" customHeight="1" x14ac:dyDescent="0.25">
      <c r="A70" s="8" t="s">
        <v>10481</v>
      </c>
      <c r="B70" s="2" t="s">
        <v>19754</v>
      </c>
      <c r="C70" s="2"/>
      <c r="D70" s="2" t="s">
        <v>19510</v>
      </c>
      <c r="E70" s="2" t="s">
        <v>19511</v>
      </c>
      <c r="F70" s="2" t="s">
        <v>19512</v>
      </c>
      <c r="G70" s="2" t="s">
        <v>19498</v>
      </c>
      <c r="H70" s="2" t="s">
        <v>19499</v>
      </c>
      <c r="I70" s="8" t="s">
        <v>84</v>
      </c>
      <c r="J70" s="2" t="s">
        <v>19699</v>
      </c>
      <c r="K70" s="2"/>
      <c r="L70" s="2" t="s">
        <v>4889</v>
      </c>
      <c r="M70" s="2" t="s">
        <v>9</v>
      </c>
      <c r="N70" s="2" t="s">
        <v>1669</v>
      </c>
      <c r="O70" s="2" t="s">
        <v>816</v>
      </c>
      <c r="P70" s="2" t="s">
        <v>2711</v>
      </c>
    </row>
    <row r="71" spans="1:16" ht="13.2" customHeight="1" x14ac:dyDescent="0.25">
      <c r="A71" s="8" t="s">
        <v>10484</v>
      </c>
      <c r="B71" s="2" t="s">
        <v>19703</v>
      </c>
      <c r="C71" s="2"/>
      <c r="D71" s="2" t="s">
        <v>19498</v>
      </c>
      <c r="E71" s="2" t="s">
        <v>19499</v>
      </c>
      <c r="F71" s="2" t="s">
        <v>19500</v>
      </c>
      <c r="G71" s="2" t="s">
        <v>19501</v>
      </c>
      <c r="H71" s="2" t="s">
        <v>19505</v>
      </c>
      <c r="I71" s="8" t="s">
        <v>84</v>
      </c>
      <c r="J71" s="2" t="s">
        <v>19755</v>
      </c>
      <c r="K71" s="2"/>
      <c r="L71" s="2" t="s">
        <v>4889</v>
      </c>
      <c r="M71" s="2" t="s">
        <v>9</v>
      </c>
      <c r="N71" s="2" t="s">
        <v>4030</v>
      </c>
      <c r="O71" s="2" t="s">
        <v>816</v>
      </c>
      <c r="P71" s="2" t="s">
        <v>2711</v>
      </c>
    </row>
    <row r="72" spans="1:16" ht="13.2" customHeight="1" x14ac:dyDescent="0.25">
      <c r="A72" s="8" t="s">
        <v>10488</v>
      </c>
      <c r="B72" s="2" t="s">
        <v>19756</v>
      </c>
      <c r="C72" s="2"/>
      <c r="D72" s="2" t="s">
        <v>19501</v>
      </c>
      <c r="E72" s="2" t="s">
        <v>19505</v>
      </c>
      <c r="F72" s="2" t="s">
        <v>19506</v>
      </c>
      <c r="G72" s="2" t="s">
        <v>19507</v>
      </c>
      <c r="H72" s="2" t="s">
        <v>19510</v>
      </c>
      <c r="I72" s="8" t="s">
        <v>84</v>
      </c>
      <c r="J72" s="2" t="s">
        <v>19757</v>
      </c>
      <c r="K72" s="2"/>
      <c r="L72" s="2" t="s">
        <v>4889</v>
      </c>
      <c r="M72" s="2" t="s">
        <v>9</v>
      </c>
      <c r="N72" s="2" t="s">
        <v>1669</v>
      </c>
      <c r="O72" s="2" t="s">
        <v>816</v>
      </c>
      <c r="P72" s="2" t="s">
        <v>2711</v>
      </c>
    </row>
    <row r="73" spans="1:16" ht="13.2" customHeight="1" x14ac:dyDescent="0.25">
      <c r="A73" s="8" t="s">
        <v>10491</v>
      </c>
      <c r="B73" s="2" t="s">
        <v>19758</v>
      </c>
      <c r="C73" s="2"/>
      <c r="D73" s="2" t="s">
        <v>19507</v>
      </c>
      <c r="E73" s="2" t="s">
        <v>19510</v>
      </c>
      <c r="F73" s="2" t="s">
        <v>19511</v>
      </c>
      <c r="G73" s="2" t="s">
        <v>19512</v>
      </c>
      <c r="H73" s="2" t="s">
        <v>19498</v>
      </c>
      <c r="I73" s="8" t="s">
        <v>84</v>
      </c>
      <c r="J73" s="2" t="s">
        <v>19759</v>
      </c>
      <c r="K73" s="2"/>
      <c r="L73" s="2" t="s">
        <v>4889</v>
      </c>
      <c r="M73" s="2" t="s">
        <v>9</v>
      </c>
      <c r="N73" s="2" t="s">
        <v>7564</v>
      </c>
      <c r="O73" s="2" t="s">
        <v>816</v>
      </c>
      <c r="P73" s="2" t="s">
        <v>2711</v>
      </c>
    </row>
    <row r="74" spans="1:16" ht="13.2" customHeight="1" x14ac:dyDescent="0.25">
      <c r="A74" s="8" t="s">
        <v>10494</v>
      </c>
      <c r="B74" s="2" t="s">
        <v>19708</v>
      </c>
      <c r="C74" s="2"/>
      <c r="D74" s="2" t="s">
        <v>19512</v>
      </c>
      <c r="E74" s="2" t="s">
        <v>19498</v>
      </c>
      <c r="F74" s="2" t="s">
        <v>19499</v>
      </c>
      <c r="G74" s="2" t="s">
        <v>19500</v>
      </c>
      <c r="H74" s="2" t="s">
        <v>19501</v>
      </c>
      <c r="I74" s="8" t="s">
        <v>84</v>
      </c>
      <c r="J74" s="2" t="s">
        <v>19692</v>
      </c>
      <c r="K74" s="2"/>
      <c r="L74" s="2" t="s">
        <v>4889</v>
      </c>
      <c r="M74" s="2" t="s">
        <v>9</v>
      </c>
      <c r="N74" s="2" t="s">
        <v>10589</v>
      </c>
      <c r="O74" s="2" t="s">
        <v>816</v>
      </c>
      <c r="P74" s="2" t="s">
        <v>2711</v>
      </c>
    </row>
    <row r="75" spans="1:16" ht="13.2" customHeight="1" x14ac:dyDescent="0.25">
      <c r="A75" s="8" t="s">
        <v>10497</v>
      </c>
      <c r="B75" s="2" t="s">
        <v>19760</v>
      </c>
      <c r="C75" s="2"/>
      <c r="D75" s="2" t="s">
        <v>19761</v>
      </c>
      <c r="E75" s="2" t="s">
        <v>19762</v>
      </c>
      <c r="F75" s="2" t="s">
        <v>19763</v>
      </c>
      <c r="G75" s="2" t="s">
        <v>19764</v>
      </c>
      <c r="H75" s="2" t="s">
        <v>19507</v>
      </c>
      <c r="I75" s="8" t="s">
        <v>96</v>
      </c>
      <c r="J75" s="2" t="s">
        <v>19765</v>
      </c>
      <c r="K75" s="2"/>
      <c r="L75" s="2" t="s">
        <v>4889</v>
      </c>
      <c r="M75" s="2" t="s">
        <v>9</v>
      </c>
      <c r="N75" s="2" t="s">
        <v>9156</v>
      </c>
      <c r="O75" s="2" t="s">
        <v>816</v>
      </c>
      <c r="P75" s="2" t="s">
        <v>2711</v>
      </c>
    </row>
    <row r="76" spans="1:16" ht="13.2" customHeight="1" x14ac:dyDescent="0.25">
      <c r="A76" s="8" t="s">
        <v>10500</v>
      </c>
      <c r="B76" s="2" t="s">
        <v>19766</v>
      </c>
      <c r="C76" s="2"/>
      <c r="D76" s="2" t="s">
        <v>19767</v>
      </c>
      <c r="E76" s="2" t="s">
        <v>19768</v>
      </c>
      <c r="F76" s="2" t="s">
        <v>19769</v>
      </c>
      <c r="G76" s="2" t="s">
        <v>19770</v>
      </c>
      <c r="H76" s="2" t="s">
        <v>19771</v>
      </c>
      <c r="I76" s="8" t="s">
        <v>84</v>
      </c>
      <c r="J76" s="2" t="s">
        <v>19772</v>
      </c>
      <c r="K76" s="2"/>
      <c r="L76" s="2" t="s">
        <v>4889</v>
      </c>
      <c r="M76" s="2" t="s">
        <v>9</v>
      </c>
      <c r="N76" s="2" t="s">
        <v>3900</v>
      </c>
      <c r="O76" s="2" t="s">
        <v>816</v>
      </c>
      <c r="P76" s="2" t="s">
        <v>2711</v>
      </c>
    </row>
    <row r="77" spans="1:16" ht="13.2" customHeight="1" x14ac:dyDescent="0.25">
      <c r="A77" s="8" t="s">
        <v>10504</v>
      </c>
      <c r="B77" s="2" t="s">
        <v>19773</v>
      </c>
      <c r="C77" s="2"/>
      <c r="D77" s="2" t="s">
        <v>19774</v>
      </c>
      <c r="E77" s="2" t="s">
        <v>19775</v>
      </c>
      <c r="F77" s="2" t="s">
        <v>19776</v>
      </c>
      <c r="G77" s="2" t="s">
        <v>19777</v>
      </c>
      <c r="H77" s="2" t="s">
        <v>19778</v>
      </c>
      <c r="I77" s="8" t="s">
        <v>113</v>
      </c>
      <c r="J77" s="2" t="s">
        <v>19779</v>
      </c>
      <c r="K77" s="2"/>
      <c r="L77" s="2" t="s">
        <v>4889</v>
      </c>
      <c r="M77" s="2" t="s">
        <v>9</v>
      </c>
      <c r="N77" s="2" t="s">
        <v>2655</v>
      </c>
      <c r="O77" s="2" t="s">
        <v>816</v>
      </c>
      <c r="P77" s="2" t="s">
        <v>2711</v>
      </c>
    </row>
    <row r="78" spans="1:16" ht="13.2" customHeight="1" x14ac:dyDescent="0.25">
      <c r="A78" s="8" t="s">
        <v>10507</v>
      </c>
      <c r="B78" s="2" t="s">
        <v>19780</v>
      </c>
      <c r="C78" s="2"/>
      <c r="D78" s="2" t="s">
        <v>2230</v>
      </c>
      <c r="E78" s="2" t="s">
        <v>4898</v>
      </c>
      <c r="F78" s="2" t="s">
        <v>19501</v>
      </c>
      <c r="G78" s="2" t="s">
        <v>4899</v>
      </c>
      <c r="H78" s="2" t="s">
        <v>4900</v>
      </c>
      <c r="I78" s="8" t="s">
        <v>123</v>
      </c>
      <c r="J78" s="2" t="s">
        <v>19781</v>
      </c>
      <c r="K78" s="2"/>
      <c r="L78" s="2" t="s">
        <v>4889</v>
      </c>
      <c r="M78" s="2" t="s">
        <v>9</v>
      </c>
      <c r="N78" s="2" t="s">
        <v>4030</v>
      </c>
      <c r="O78" s="2" t="s">
        <v>816</v>
      </c>
      <c r="P78" s="2" t="s">
        <v>2711</v>
      </c>
    </row>
    <row r="79" spans="1:16" ht="13.2" customHeight="1" x14ac:dyDescent="0.25">
      <c r="A79" s="8" t="s">
        <v>10510</v>
      </c>
      <c r="B79" s="2" t="s">
        <v>19782</v>
      </c>
      <c r="C79" s="2"/>
      <c r="D79" s="2" t="s">
        <v>19505</v>
      </c>
      <c r="E79" s="2" t="s">
        <v>19506</v>
      </c>
      <c r="F79" s="2" t="s">
        <v>19507</v>
      </c>
      <c r="G79" s="2" t="s">
        <v>19510</v>
      </c>
      <c r="H79" s="2" t="s">
        <v>19511</v>
      </c>
      <c r="I79" s="8" t="s">
        <v>84</v>
      </c>
      <c r="J79" s="2" t="s">
        <v>19753</v>
      </c>
      <c r="K79" s="2"/>
      <c r="L79" s="2" t="s">
        <v>4889</v>
      </c>
      <c r="M79" s="2" t="s">
        <v>9</v>
      </c>
      <c r="N79" s="2" t="s">
        <v>3936</v>
      </c>
      <c r="O79" s="2" t="s">
        <v>816</v>
      </c>
      <c r="P79" s="2" t="s">
        <v>2711</v>
      </c>
    </row>
    <row r="80" spans="1:16" ht="13.2" customHeight="1" x14ac:dyDescent="0.25">
      <c r="A80" s="8" t="s">
        <v>10517</v>
      </c>
      <c r="B80" s="2" t="s">
        <v>19783</v>
      </c>
      <c r="C80" s="2"/>
      <c r="D80" s="2" t="s">
        <v>19510</v>
      </c>
      <c r="E80" s="2" t="s">
        <v>19511</v>
      </c>
      <c r="F80" s="2" t="s">
        <v>19512</v>
      </c>
      <c r="G80" s="2" t="s">
        <v>19498</v>
      </c>
      <c r="H80" s="2" t="s">
        <v>19499</v>
      </c>
      <c r="I80" s="8" t="s">
        <v>113</v>
      </c>
      <c r="J80" s="2" t="s">
        <v>19784</v>
      </c>
      <c r="K80" s="2"/>
      <c r="L80" s="2" t="s">
        <v>4889</v>
      </c>
      <c r="M80" s="2" t="s">
        <v>9</v>
      </c>
      <c r="N80" s="2" t="s">
        <v>1669</v>
      </c>
      <c r="O80" s="2" t="s">
        <v>816</v>
      </c>
      <c r="P80" s="2" t="s">
        <v>2711</v>
      </c>
    </row>
    <row r="81" spans="1:16" ht="13.2" customHeight="1" x14ac:dyDescent="0.25">
      <c r="A81" s="8" t="s">
        <v>10520</v>
      </c>
      <c r="B81" s="2" t="s">
        <v>19785</v>
      </c>
      <c r="C81" s="2"/>
      <c r="D81" s="2" t="s">
        <v>19498</v>
      </c>
      <c r="E81" s="2" t="s">
        <v>19499</v>
      </c>
      <c r="F81" s="2" t="s">
        <v>19500</v>
      </c>
      <c r="G81" s="2" t="s">
        <v>19501</v>
      </c>
      <c r="H81" s="2" t="s">
        <v>19505</v>
      </c>
      <c r="I81" s="8" t="s">
        <v>84</v>
      </c>
      <c r="J81" s="2" t="s">
        <v>19786</v>
      </c>
      <c r="K81" s="2"/>
      <c r="L81" s="2" t="s">
        <v>4889</v>
      </c>
      <c r="M81" s="2" t="s">
        <v>9</v>
      </c>
      <c r="N81" s="2" t="s">
        <v>3936</v>
      </c>
      <c r="O81" s="2" t="s">
        <v>816</v>
      </c>
      <c r="P81" s="2" t="s">
        <v>2711</v>
      </c>
    </row>
    <row r="82" spans="1:16" ht="13.2" customHeight="1" x14ac:dyDescent="0.25">
      <c r="A82" s="8" t="s">
        <v>10523</v>
      </c>
      <c r="B82" s="2" t="s">
        <v>19787</v>
      </c>
      <c r="C82" s="2"/>
      <c r="D82" s="2" t="s">
        <v>19501</v>
      </c>
      <c r="E82" s="2" t="s">
        <v>19505</v>
      </c>
      <c r="F82" s="2" t="s">
        <v>19506</v>
      </c>
      <c r="G82" s="2" t="s">
        <v>19507</v>
      </c>
      <c r="H82" s="2" t="s">
        <v>19510</v>
      </c>
      <c r="I82" s="8" t="s">
        <v>84</v>
      </c>
      <c r="J82" s="2" t="s">
        <v>19640</v>
      </c>
      <c r="K82" s="2"/>
      <c r="L82" s="2" t="s">
        <v>4889</v>
      </c>
      <c r="M82" s="2" t="s">
        <v>9</v>
      </c>
      <c r="N82" s="2" t="s">
        <v>3900</v>
      </c>
      <c r="O82" s="2" t="s">
        <v>816</v>
      </c>
      <c r="P82" s="2" t="s">
        <v>2711</v>
      </c>
    </row>
    <row r="83" spans="1:16" ht="13.2" customHeight="1" x14ac:dyDescent="0.25">
      <c r="A83" s="8" t="s">
        <v>10526</v>
      </c>
      <c r="B83" s="2" t="s">
        <v>19788</v>
      </c>
      <c r="C83" s="2"/>
      <c r="D83" s="2" t="s">
        <v>19507</v>
      </c>
      <c r="E83" s="2" t="s">
        <v>19510</v>
      </c>
      <c r="F83" s="2" t="s">
        <v>19511</v>
      </c>
      <c r="G83" s="2" t="s">
        <v>19512</v>
      </c>
      <c r="H83" s="2" t="s">
        <v>19498</v>
      </c>
      <c r="I83" s="8" t="s">
        <v>84</v>
      </c>
      <c r="J83" s="2" t="s">
        <v>19643</v>
      </c>
      <c r="K83" s="2"/>
      <c r="L83" s="2" t="s">
        <v>4889</v>
      </c>
      <c r="M83" s="2" t="s">
        <v>9</v>
      </c>
      <c r="N83" s="2" t="s">
        <v>2655</v>
      </c>
      <c r="O83" s="2" t="s">
        <v>816</v>
      </c>
      <c r="P83" s="2" t="s">
        <v>2711</v>
      </c>
    </row>
    <row r="84" spans="1:16" ht="13.2" customHeight="1" x14ac:dyDescent="0.25">
      <c r="A84" s="8" t="s">
        <v>10531</v>
      </c>
      <c r="B84" s="2" t="s">
        <v>19789</v>
      </c>
      <c r="C84" s="2"/>
      <c r="D84" s="2" t="s">
        <v>19512</v>
      </c>
      <c r="E84" s="2" t="s">
        <v>19498</v>
      </c>
      <c r="F84" s="2" t="s">
        <v>19499</v>
      </c>
      <c r="G84" s="2" t="s">
        <v>19500</v>
      </c>
      <c r="H84" s="2" t="s">
        <v>19501</v>
      </c>
      <c r="I84" s="8" t="s">
        <v>84</v>
      </c>
      <c r="J84" s="2" t="s">
        <v>19646</v>
      </c>
      <c r="K84" s="2"/>
      <c r="L84" s="2" t="s">
        <v>4889</v>
      </c>
      <c r="M84" s="2" t="s">
        <v>9</v>
      </c>
      <c r="N84" s="2" t="s">
        <v>3887</v>
      </c>
      <c r="O84" s="2" t="s">
        <v>816</v>
      </c>
      <c r="P84" s="2" t="s">
        <v>2711</v>
      </c>
    </row>
    <row r="85" spans="1:16" ht="13.2" customHeight="1" x14ac:dyDescent="0.25">
      <c r="A85" s="8" t="s">
        <v>10534</v>
      </c>
      <c r="B85" s="2" t="s">
        <v>19790</v>
      </c>
      <c r="C85" s="2"/>
      <c r="D85" s="2" t="s">
        <v>19500</v>
      </c>
      <c r="E85" s="2" t="s">
        <v>19501</v>
      </c>
      <c r="F85" s="2" t="s">
        <v>19505</v>
      </c>
      <c r="G85" s="2" t="s">
        <v>19506</v>
      </c>
      <c r="H85" s="2" t="s">
        <v>19507</v>
      </c>
      <c r="I85" s="8" t="s">
        <v>84</v>
      </c>
      <c r="J85" s="2" t="s">
        <v>19706</v>
      </c>
      <c r="K85" s="2"/>
      <c r="L85" s="2" t="s">
        <v>4889</v>
      </c>
      <c r="M85" s="2" t="s">
        <v>9</v>
      </c>
      <c r="N85" s="2" t="s">
        <v>4030</v>
      </c>
      <c r="O85" s="2" t="s">
        <v>816</v>
      </c>
      <c r="P85" s="2" t="s">
        <v>2711</v>
      </c>
    </row>
    <row r="86" spans="1:16" ht="13.2" customHeight="1" x14ac:dyDescent="0.25">
      <c r="A86" s="8" t="s">
        <v>10537</v>
      </c>
      <c r="B86" s="2" t="s">
        <v>19791</v>
      </c>
      <c r="C86" s="2"/>
      <c r="D86" s="2" t="s">
        <v>19506</v>
      </c>
      <c r="E86" s="2" t="s">
        <v>19507</v>
      </c>
      <c r="F86" s="2" t="s">
        <v>19510</v>
      </c>
      <c r="G86" s="2" t="s">
        <v>19511</v>
      </c>
      <c r="H86" s="2" t="s">
        <v>19512</v>
      </c>
      <c r="I86" s="8" t="s">
        <v>84</v>
      </c>
      <c r="J86" s="2" t="s">
        <v>19652</v>
      </c>
      <c r="K86" s="2"/>
      <c r="L86" s="2" t="s">
        <v>4889</v>
      </c>
      <c r="M86" s="2" t="s">
        <v>9</v>
      </c>
      <c r="N86" s="2" t="s">
        <v>3900</v>
      </c>
      <c r="O86" s="2" t="s">
        <v>816</v>
      </c>
      <c r="P86" s="2" t="s">
        <v>2711</v>
      </c>
    </row>
    <row r="87" spans="1:16" ht="13.2" customHeight="1" x14ac:dyDescent="0.25">
      <c r="A87" s="8" t="s">
        <v>10540</v>
      </c>
      <c r="B87" s="2" t="s">
        <v>19792</v>
      </c>
      <c r="C87" s="2"/>
      <c r="D87" s="2" t="s">
        <v>19511</v>
      </c>
      <c r="E87" s="2" t="s">
        <v>19512</v>
      </c>
      <c r="F87" s="2" t="s">
        <v>19498</v>
      </c>
      <c r="G87" s="2" t="s">
        <v>19499</v>
      </c>
      <c r="H87" s="2" t="s">
        <v>19500</v>
      </c>
      <c r="I87" s="8" t="s">
        <v>84</v>
      </c>
      <c r="J87" s="2" t="s">
        <v>19793</v>
      </c>
      <c r="K87" s="2"/>
      <c r="L87" s="2" t="s">
        <v>4889</v>
      </c>
      <c r="M87" s="2" t="s">
        <v>9</v>
      </c>
      <c r="N87" s="2" t="s">
        <v>1669</v>
      </c>
      <c r="O87" s="2" t="s">
        <v>816</v>
      </c>
      <c r="P87" s="2" t="s">
        <v>2711</v>
      </c>
    </row>
    <row r="88" spans="1:16" ht="13.2" customHeight="1" x14ac:dyDescent="0.25">
      <c r="A88" s="8" t="s">
        <v>10544</v>
      </c>
      <c r="B88" s="2" t="s">
        <v>19794</v>
      </c>
      <c r="C88" s="2"/>
      <c r="D88" s="2" t="s">
        <v>19499</v>
      </c>
      <c r="E88" s="2" t="s">
        <v>19500</v>
      </c>
      <c r="F88" s="2" t="s">
        <v>19501</v>
      </c>
      <c r="G88" s="2" t="s">
        <v>19505</v>
      </c>
      <c r="H88" s="2" t="s">
        <v>19506</v>
      </c>
      <c r="I88" s="8" t="s">
        <v>84</v>
      </c>
      <c r="J88" s="2" t="s">
        <v>19752</v>
      </c>
      <c r="K88" s="2"/>
      <c r="L88" s="2" t="s">
        <v>4889</v>
      </c>
      <c r="M88" s="2" t="s">
        <v>9</v>
      </c>
      <c r="N88" s="2" t="s">
        <v>3936</v>
      </c>
      <c r="O88" s="2" t="s">
        <v>816</v>
      </c>
      <c r="P88" s="2" t="s">
        <v>2711</v>
      </c>
    </row>
    <row r="89" spans="1:16" ht="13.2" customHeight="1" x14ac:dyDescent="0.25">
      <c r="A89" s="8" t="s">
        <v>10552</v>
      </c>
      <c r="B89" s="2" t="s">
        <v>19795</v>
      </c>
      <c r="C89" s="2"/>
      <c r="D89" s="2" t="s">
        <v>19505</v>
      </c>
      <c r="E89" s="2" t="s">
        <v>19506</v>
      </c>
      <c r="F89" s="2" t="s">
        <v>19507</v>
      </c>
      <c r="G89" s="2" t="s">
        <v>19510</v>
      </c>
      <c r="H89" s="2" t="s">
        <v>19511</v>
      </c>
      <c r="I89" s="8" t="s">
        <v>84</v>
      </c>
      <c r="J89" s="2" t="s">
        <v>19753</v>
      </c>
      <c r="K89" s="2"/>
      <c r="L89" s="2" t="s">
        <v>4889</v>
      </c>
      <c r="M89" s="2" t="s">
        <v>9</v>
      </c>
      <c r="N89" s="2" t="s">
        <v>3900</v>
      </c>
      <c r="O89" s="2" t="s">
        <v>816</v>
      </c>
      <c r="P89" s="2" t="s">
        <v>2711</v>
      </c>
    </row>
    <row r="90" spans="1:16" ht="13.2" customHeight="1" x14ac:dyDescent="0.25">
      <c r="A90" s="8" t="s">
        <v>10555</v>
      </c>
      <c r="B90" s="2" t="s">
        <v>19796</v>
      </c>
      <c r="C90" s="2"/>
      <c r="D90" s="2" t="s">
        <v>19510</v>
      </c>
      <c r="E90" s="2" t="s">
        <v>19511</v>
      </c>
      <c r="F90" s="2" t="s">
        <v>19512</v>
      </c>
      <c r="G90" s="2" t="s">
        <v>19498</v>
      </c>
      <c r="H90" s="2" t="s">
        <v>19499</v>
      </c>
      <c r="I90" s="8" t="s">
        <v>84</v>
      </c>
      <c r="J90" s="2" t="s">
        <v>19699</v>
      </c>
      <c r="K90" s="2"/>
      <c r="L90" s="2" t="s">
        <v>4889</v>
      </c>
      <c r="M90" s="2" t="s">
        <v>9</v>
      </c>
      <c r="N90" s="2" t="s">
        <v>2655</v>
      </c>
      <c r="O90" s="2" t="s">
        <v>816</v>
      </c>
      <c r="P90" s="2" t="s">
        <v>2711</v>
      </c>
    </row>
    <row r="91" spans="1:16" ht="13.2" customHeight="1" x14ac:dyDescent="0.25">
      <c r="A91" s="8" t="s">
        <v>10558</v>
      </c>
      <c r="B91" s="2" t="s">
        <v>19797</v>
      </c>
      <c r="C91" s="2"/>
      <c r="D91" s="2" t="s">
        <v>19498</v>
      </c>
      <c r="E91" s="2" t="s">
        <v>19499</v>
      </c>
      <c r="F91" s="2" t="s">
        <v>19500</v>
      </c>
      <c r="G91" s="2" t="s">
        <v>19501</v>
      </c>
      <c r="H91" s="2" t="s">
        <v>19505</v>
      </c>
      <c r="I91" s="8" t="s">
        <v>96</v>
      </c>
      <c r="J91" s="2" t="s">
        <v>19798</v>
      </c>
      <c r="K91" s="2"/>
      <c r="L91" s="2" t="s">
        <v>4889</v>
      </c>
      <c r="M91" s="2" t="s">
        <v>9</v>
      </c>
      <c r="N91" s="2" t="s">
        <v>3887</v>
      </c>
      <c r="O91" s="2" t="s">
        <v>816</v>
      </c>
      <c r="P91" s="2" t="s">
        <v>2711</v>
      </c>
    </row>
    <row r="92" spans="1:16" ht="13.2" customHeight="1" x14ac:dyDescent="0.25">
      <c r="A92" s="8" t="s">
        <v>10566</v>
      </c>
      <c r="B92" s="2" t="s">
        <v>19799</v>
      </c>
      <c r="C92" s="2"/>
      <c r="D92" s="2" t="s">
        <v>19501</v>
      </c>
      <c r="E92" s="2" t="s">
        <v>19505</v>
      </c>
      <c r="F92" s="2" t="s">
        <v>19506</v>
      </c>
      <c r="G92" s="2" t="s">
        <v>19507</v>
      </c>
      <c r="H92" s="2" t="s">
        <v>19510</v>
      </c>
      <c r="I92" s="8" t="s">
        <v>84</v>
      </c>
      <c r="J92" s="2" t="s">
        <v>19800</v>
      </c>
      <c r="K92" s="2"/>
      <c r="L92" s="2" t="s">
        <v>4889</v>
      </c>
      <c r="M92" s="2" t="s">
        <v>9</v>
      </c>
      <c r="N92" s="2" t="s">
        <v>3900</v>
      </c>
      <c r="O92" s="2" t="s">
        <v>816</v>
      </c>
      <c r="P92" s="2" t="s">
        <v>2711</v>
      </c>
    </row>
    <row r="93" spans="1:16" ht="13.2" customHeight="1" x14ac:dyDescent="0.25">
      <c r="A93" s="8" t="s">
        <v>10569</v>
      </c>
      <c r="B93" s="2" t="s">
        <v>19801</v>
      </c>
      <c r="C93" s="2"/>
      <c r="D93" s="2" t="s">
        <v>19507</v>
      </c>
      <c r="E93" s="2" t="s">
        <v>19510</v>
      </c>
      <c r="F93" s="2" t="s">
        <v>19511</v>
      </c>
      <c r="G93" s="2" t="s">
        <v>19512</v>
      </c>
      <c r="H93" s="2" t="s">
        <v>19498</v>
      </c>
      <c r="I93" s="8" t="s">
        <v>84</v>
      </c>
      <c r="J93" s="2" t="s">
        <v>19759</v>
      </c>
      <c r="K93" s="2"/>
      <c r="L93" s="2" t="s">
        <v>4889</v>
      </c>
      <c r="M93" s="2" t="s">
        <v>9</v>
      </c>
      <c r="N93" s="2" t="s">
        <v>3900</v>
      </c>
      <c r="O93" s="2" t="s">
        <v>816</v>
      </c>
      <c r="P93" s="2" t="s">
        <v>2711</v>
      </c>
    </row>
    <row r="94" spans="1:16" ht="13.2" customHeight="1" x14ac:dyDescent="0.25">
      <c r="A94" s="8" t="s">
        <v>10572</v>
      </c>
      <c r="B94" s="2" t="s">
        <v>19802</v>
      </c>
      <c r="C94" s="2"/>
      <c r="D94" s="2" t="s">
        <v>19512</v>
      </c>
      <c r="E94" s="2" t="s">
        <v>19498</v>
      </c>
      <c r="F94" s="2" t="s">
        <v>19499</v>
      </c>
      <c r="G94" s="2" t="s">
        <v>19500</v>
      </c>
      <c r="H94" s="2" t="s">
        <v>19501</v>
      </c>
      <c r="I94" s="8" t="s">
        <v>84</v>
      </c>
      <c r="J94" s="2" t="s">
        <v>19692</v>
      </c>
      <c r="K94" s="2"/>
      <c r="L94" s="2" t="s">
        <v>4889</v>
      </c>
      <c r="M94" s="2" t="s">
        <v>9</v>
      </c>
      <c r="N94" s="2" t="s">
        <v>2655</v>
      </c>
      <c r="O94" s="2" t="s">
        <v>816</v>
      </c>
      <c r="P94" s="2" t="s">
        <v>2711</v>
      </c>
    </row>
    <row r="95" spans="1:16" ht="13.2" customHeight="1" x14ac:dyDescent="0.25">
      <c r="A95" s="8" t="s">
        <v>10575</v>
      </c>
      <c r="B95" s="2" t="s">
        <v>19803</v>
      </c>
      <c r="C95" s="2"/>
      <c r="D95" s="2" t="s">
        <v>19500</v>
      </c>
      <c r="E95" s="2" t="s">
        <v>19501</v>
      </c>
      <c r="F95" s="2" t="s">
        <v>19505</v>
      </c>
      <c r="G95" s="2" t="s">
        <v>19506</v>
      </c>
      <c r="H95" s="2" t="s">
        <v>19507</v>
      </c>
      <c r="I95" s="8" t="s">
        <v>84</v>
      </c>
      <c r="J95" s="2" t="s">
        <v>19706</v>
      </c>
      <c r="K95" s="2"/>
      <c r="L95" s="2" t="s">
        <v>4889</v>
      </c>
      <c r="M95" s="2" t="s">
        <v>9</v>
      </c>
      <c r="N95" s="2" t="s">
        <v>3887</v>
      </c>
      <c r="O95" s="2" t="s">
        <v>816</v>
      </c>
      <c r="P95" s="2" t="s">
        <v>2711</v>
      </c>
    </row>
    <row r="96" spans="1:16" ht="13.2" customHeight="1" x14ac:dyDescent="0.25">
      <c r="A96" s="8" t="s">
        <v>10583</v>
      </c>
      <c r="B96" s="2" t="s">
        <v>19804</v>
      </c>
      <c r="C96" s="2"/>
      <c r="D96" s="2" t="s">
        <v>19506</v>
      </c>
      <c r="E96" s="2" t="s">
        <v>19507</v>
      </c>
      <c r="F96" s="2" t="s">
        <v>19510</v>
      </c>
      <c r="G96" s="2" t="s">
        <v>19511</v>
      </c>
      <c r="H96" s="2" t="s">
        <v>19512</v>
      </c>
      <c r="I96" s="8" t="s">
        <v>123</v>
      </c>
      <c r="J96" s="2" t="s">
        <v>19805</v>
      </c>
      <c r="K96" s="2"/>
      <c r="L96" s="2" t="s">
        <v>4889</v>
      </c>
      <c r="M96" s="2" t="s">
        <v>9</v>
      </c>
      <c r="N96" s="2" t="s">
        <v>1669</v>
      </c>
      <c r="O96" s="2" t="s">
        <v>816</v>
      </c>
      <c r="P96" s="2" t="s">
        <v>2711</v>
      </c>
    </row>
    <row r="97" spans="1:16" ht="13.2" customHeight="1" x14ac:dyDescent="0.25">
      <c r="A97" s="8" t="s">
        <v>10586</v>
      </c>
      <c r="B97" s="2" t="s">
        <v>19806</v>
      </c>
      <c r="C97" s="2"/>
      <c r="D97" s="2" t="s">
        <v>19511</v>
      </c>
      <c r="E97" s="2" t="s">
        <v>19512</v>
      </c>
      <c r="F97" s="2" t="s">
        <v>19498</v>
      </c>
      <c r="G97" s="2" t="s">
        <v>19499</v>
      </c>
      <c r="H97" s="2" t="s">
        <v>19500</v>
      </c>
      <c r="I97" s="8" t="s">
        <v>84</v>
      </c>
      <c r="J97" s="2" t="s">
        <v>19793</v>
      </c>
      <c r="K97" s="2"/>
      <c r="L97" s="2" t="s">
        <v>4889</v>
      </c>
      <c r="M97" s="2" t="s">
        <v>9</v>
      </c>
      <c r="N97" s="2" t="s">
        <v>2655</v>
      </c>
      <c r="O97" s="2" t="s">
        <v>816</v>
      </c>
      <c r="P97" s="2" t="s">
        <v>2711</v>
      </c>
    </row>
    <row r="98" spans="1:16" ht="13.2" customHeight="1" x14ac:dyDescent="0.25">
      <c r="A98" s="8" t="s">
        <v>10590</v>
      </c>
      <c r="B98" s="2" t="s">
        <v>19807</v>
      </c>
      <c r="C98" s="2"/>
      <c r="D98" s="2" t="s">
        <v>19499</v>
      </c>
      <c r="E98" s="2" t="s">
        <v>19500</v>
      </c>
      <c r="F98" s="2" t="s">
        <v>19501</v>
      </c>
      <c r="G98" s="2" t="s">
        <v>19505</v>
      </c>
      <c r="H98" s="2" t="s">
        <v>19506</v>
      </c>
      <c r="I98" s="8" t="s">
        <v>84</v>
      </c>
      <c r="J98" s="2" t="s">
        <v>19752</v>
      </c>
      <c r="K98" s="2"/>
      <c r="L98" s="2" t="s">
        <v>4889</v>
      </c>
      <c r="M98" s="2" t="s">
        <v>9</v>
      </c>
      <c r="N98" s="2" t="s">
        <v>1669</v>
      </c>
      <c r="O98" s="2" t="s">
        <v>816</v>
      </c>
      <c r="P98" s="2" t="s">
        <v>2711</v>
      </c>
    </row>
    <row r="99" spans="1:16" ht="13.2" customHeight="1" x14ac:dyDescent="0.25">
      <c r="A99" s="8" t="s">
        <v>10593</v>
      </c>
      <c r="B99" s="2" t="s">
        <v>19808</v>
      </c>
      <c r="C99" s="2"/>
      <c r="D99" s="2" t="s">
        <v>19505</v>
      </c>
      <c r="E99" s="2" t="s">
        <v>19506</v>
      </c>
      <c r="F99" s="2" t="s">
        <v>19507</v>
      </c>
      <c r="G99" s="2" t="s">
        <v>19510</v>
      </c>
      <c r="H99" s="2" t="s">
        <v>19511</v>
      </c>
      <c r="I99" s="8" t="s">
        <v>84</v>
      </c>
      <c r="J99" s="2" t="s">
        <v>19753</v>
      </c>
      <c r="K99" s="2"/>
      <c r="L99" s="2" t="s">
        <v>4889</v>
      </c>
      <c r="M99" s="2" t="s">
        <v>9</v>
      </c>
      <c r="N99" s="2" t="s">
        <v>3887</v>
      </c>
      <c r="O99" s="2" t="s">
        <v>816</v>
      </c>
      <c r="P99" s="2" t="s">
        <v>2711</v>
      </c>
    </row>
    <row r="100" spans="1:16" ht="13.2" customHeight="1" x14ac:dyDescent="0.25">
      <c r="A100" s="8" t="s">
        <v>10601</v>
      </c>
      <c r="B100" s="2" t="s">
        <v>19809</v>
      </c>
      <c r="C100" s="2"/>
      <c r="D100" s="2" t="s">
        <v>19510</v>
      </c>
      <c r="E100" s="2" t="s">
        <v>19511</v>
      </c>
      <c r="F100" s="2" t="s">
        <v>19512</v>
      </c>
      <c r="G100" s="2" t="s">
        <v>19498</v>
      </c>
      <c r="H100" s="2" t="s">
        <v>19499</v>
      </c>
      <c r="I100" s="8" t="s">
        <v>84</v>
      </c>
      <c r="J100" s="2" t="s">
        <v>19699</v>
      </c>
      <c r="K100" s="2"/>
      <c r="L100" s="2" t="s">
        <v>4889</v>
      </c>
      <c r="M100" s="2" t="s">
        <v>9</v>
      </c>
      <c r="N100" s="2" t="s">
        <v>1669</v>
      </c>
      <c r="O100" s="2" t="s">
        <v>816</v>
      </c>
      <c r="P100" s="2" t="s">
        <v>2711</v>
      </c>
    </row>
    <row r="101" spans="1:16" ht="13.2" customHeight="1" x14ac:dyDescent="0.25">
      <c r="A101" s="8" t="s">
        <v>10604</v>
      </c>
      <c r="B101" s="2" t="s">
        <v>19810</v>
      </c>
      <c r="C101" s="2"/>
      <c r="D101" s="2" t="s">
        <v>19498</v>
      </c>
      <c r="E101" s="2" t="s">
        <v>19499</v>
      </c>
      <c r="F101" s="2" t="s">
        <v>19500</v>
      </c>
      <c r="G101" s="2" t="s">
        <v>19501</v>
      </c>
      <c r="H101" s="2" t="s">
        <v>19505</v>
      </c>
      <c r="I101" s="8" t="s">
        <v>84</v>
      </c>
      <c r="J101" s="2" t="s">
        <v>19637</v>
      </c>
      <c r="K101" s="2"/>
      <c r="L101" s="2" t="s">
        <v>4889</v>
      </c>
      <c r="M101" s="2" t="s">
        <v>9</v>
      </c>
      <c r="N101" s="2" t="s">
        <v>1669</v>
      </c>
      <c r="O101" s="2" t="s">
        <v>816</v>
      </c>
      <c r="P101" s="2" t="s">
        <v>2711</v>
      </c>
    </row>
    <row r="102" spans="1:16" ht="13.2" customHeight="1" x14ac:dyDescent="0.25">
      <c r="A102" s="8" t="s">
        <v>8863</v>
      </c>
      <c r="B102" s="2" t="s">
        <v>19811</v>
      </c>
      <c r="C102" s="2"/>
      <c r="D102" s="2" t="s">
        <v>19501</v>
      </c>
      <c r="E102" s="2" t="s">
        <v>19505</v>
      </c>
      <c r="F102" s="2" t="s">
        <v>19506</v>
      </c>
      <c r="G102" s="2" t="s">
        <v>19507</v>
      </c>
      <c r="H102" s="2" t="s">
        <v>19510</v>
      </c>
      <c r="I102" s="8" t="s">
        <v>84</v>
      </c>
      <c r="J102" s="2" t="s">
        <v>19640</v>
      </c>
      <c r="K102" s="2"/>
      <c r="L102" s="2" t="s">
        <v>4889</v>
      </c>
      <c r="M102" s="2" t="s">
        <v>9</v>
      </c>
      <c r="N102" s="2" t="s">
        <v>3936</v>
      </c>
      <c r="O102" s="2" t="s">
        <v>816</v>
      </c>
      <c r="P102" s="2" t="s">
        <v>2711</v>
      </c>
    </row>
    <row r="103" spans="1:16" ht="13.2" customHeight="1" x14ac:dyDescent="0.25">
      <c r="A103" s="8" t="s">
        <v>10609</v>
      </c>
      <c r="B103" s="2" t="s">
        <v>19812</v>
      </c>
      <c r="C103" s="2"/>
      <c r="D103" s="2" t="s">
        <v>19507</v>
      </c>
      <c r="E103" s="2" t="s">
        <v>19510</v>
      </c>
      <c r="F103" s="2" t="s">
        <v>19511</v>
      </c>
      <c r="G103" s="2" t="s">
        <v>19512</v>
      </c>
      <c r="H103" s="2" t="s">
        <v>19498</v>
      </c>
      <c r="I103" s="8" t="s">
        <v>84</v>
      </c>
      <c r="J103" s="2" t="s">
        <v>19643</v>
      </c>
      <c r="K103" s="2"/>
      <c r="L103" s="2" t="s">
        <v>4889</v>
      </c>
      <c r="M103" s="2" t="s">
        <v>9</v>
      </c>
      <c r="N103" s="2" t="s">
        <v>3900</v>
      </c>
      <c r="O103" s="2" t="s">
        <v>816</v>
      </c>
      <c r="P103" s="2" t="s">
        <v>2711</v>
      </c>
    </row>
    <row r="104" spans="1:16" ht="13.2" customHeight="1" x14ac:dyDescent="0.25">
      <c r="A104" s="8" t="s">
        <v>10618</v>
      </c>
      <c r="B104" s="2" t="s">
        <v>19813</v>
      </c>
      <c r="C104" s="2"/>
      <c r="D104" s="2" t="s">
        <v>19512</v>
      </c>
      <c r="E104" s="2" t="s">
        <v>19498</v>
      </c>
      <c r="F104" s="2" t="s">
        <v>19499</v>
      </c>
      <c r="G104" s="2" t="s">
        <v>19500</v>
      </c>
      <c r="H104" s="2" t="s">
        <v>19501</v>
      </c>
      <c r="I104" s="8" t="s">
        <v>84</v>
      </c>
      <c r="J104" s="2" t="s">
        <v>19646</v>
      </c>
      <c r="K104" s="2"/>
      <c r="L104" s="2" t="s">
        <v>4889</v>
      </c>
      <c r="M104" s="2" t="s">
        <v>9</v>
      </c>
      <c r="N104" s="2" t="s">
        <v>3887</v>
      </c>
      <c r="O104" s="2" t="s">
        <v>816</v>
      </c>
      <c r="P104" s="2" t="s">
        <v>2711</v>
      </c>
    </row>
    <row r="105" spans="1:16" ht="13.2" customHeight="1" x14ac:dyDescent="0.25">
      <c r="A105" s="8" t="s">
        <v>10622</v>
      </c>
      <c r="B105" s="2" t="s">
        <v>19814</v>
      </c>
      <c r="C105" s="2"/>
      <c r="D105" s="2" t="s">
        <v>19500</v>
      </c>
      <c r="E105" s="2" t="s">
        <v>19501</v>
      </c>
      <c r="F105" s="2" t="s">
        <v>19505</v>
      </c>
      <c r="G105" s="2" t="s">
        <v>19506</v>
      </c>
      <c r="H105" s="2" t="s">
        <v>19507</v>
      </c>
      <c r="I105" s="8" t="s">
        <v>84</v>
      </c>
      <c r="J105" s="2" t="s">
        <v>19649</v>
      </c>
      <c r="K105" s="2"/>
      <c r="L105" s="2" t="s">
        <v>4889</v>
      </c>
      <c r="M105" s="2" t="s">
        <v>9</v>
      </c>
      <c r="N105" s="2" t="s">
        <v>1669</v>
      </c>
      <c r="O105" s="2" t="s">
        <v>816</v>
      </c>
      <c r="P105" s="2" t="s">
        <v>2711</v>
      </c>
    </row>
    <row r="106" spans="1:16" ht="13.2" customHeight="1" x14ac:dyDescent="0.25">
      <c r="A106" s="8" t="s">
        <v>10625</v>
      </c>
      <c r="B106" s="2" t="s">
        <v>19815</v>
      </c>
      <c r="C106" s="2"/>
      <c r="D106" s="2" t="s">
        <v>19816</v>
      </c>
      <c r="E106" s="2" t="s">
        <v>19817</v>
      </c>
      <c r="F106" s="2" t="s">
        <v>19818</v>
      </c>
      <c r="G106" s="2" t="s">
        <v>19819</v>
      </c>
      <c r="H106" s="2" t="s">
        <v>19820</v>
      </c>
      <c r="I106" s="8" t="s">
        <v>90</v>
      </c>
      <c r="J106" s="2" t="s">
        <v>19821</v>
      </c>
      <c r="K106" s="2"/>
      <c r="L106" s="2" t="s">
        <v>4889</v>
      </c>
      <c r="M106" s="2" t="s">
        <v>9</v>
      </c>
      <c r="N106" s="2" t="s">
        <v>10630</v>
      </c>
      <c r="O106" s="2" t="s">
        <v>816</v>
      </c>
      <c r="P106" s="2" t="s">
        <v>2711</v>
      </c>
    </row>
    <row r="107" spans="1:16" ht="13.2" customHeight="1" x14ac:dyDescent="0.25">
      <c r="A107" s="2">
        <v>105</v>
      </c>
      <c r="B107" s="2" t="s">
        <v>19822</v>
      </c>
      <c r="C107" s="2"/>
      <c r="D107" s="2" t="s">
        <v>19823</v>
      </c>
      <c r="E107" s="2" t="s">
        <v>19824</v>
      </c>
      <c r="F107" s="2" t="s">
        <v>19825</v>
      </c>
      <c r="G107" s="2" t="s">
        <v>19826</v>
      </c>
      <c r="H107" s="2" t="s">
        <v>19827</v>
      </c>
      <c r="I107" s="8" t="s">
        <v>90</v>
      </c>
      <c r="J107" s="2" t="s">
        <v>19828</v>
      </c>
      <c r="K107" s="2"/>
      <c r="L107" s="2" t="s">
        <v>19495</v>
      </c>
      <c r="M107" s="2" t="s">
        <v>9</v>
      </c>
      <c r="N107" s="2" t="s">
        <v>19829</v>
      </c>
      <c r="O107" s="2" t="s">
        <v>816</v>
      </c>
      <c r="P107" s="2" t="s">
        <v>1849</v>
      </c>
    </row>
    <row r="108" spans="1:16" ht="13.2" customHeight="1" x14ac:dyDescent="0.25">
      <c r="A108" s="2">
        <v>106</v>
      </c>
      <c r="B108" s="2" t="s">
        <v>19830</v>
      </c>
      <c r="C108" s="2"/>
      <c r="D108" s="2" t="s">
        <v>8707</v>
      </c>
      <c r="E108" s="2" t="s">
        <v>12303</v>
      </c>
      <c r="F108" s="2" t="s">
        <v>8706</v>
      </c>
      <c r="G108" s="2" t="s">
        <v>19831</v>
      </c>
      <c r="H108" s="2" t="s">
        <v>18457</v>
      </c>
      <c r="I108" s="8" t="s">
        <v>90</v>
      </c>
      <c r="J108" s="2" t="s">
        <v>19832</v>
      </c>
      <c r="K108" s="2"/>
      <c r="L108" s="2" t="s">
        <v>19495</v>
      </c>
      <c r="M108" s="2" t="s">
        <v>9</v>
      </c>
      <c r="N108" s="2" t="s">
        <v>19833</v>
      </c>
      <c r="O108" s="2" t="s">
        <v>816</v>
      </c>
      <c r="P108" s="2" t="s">
        <v>1849</v>
      </c>
    </row>
    <row r="109" spans="1:16" ht="13.2" customHeight="1" x14ac:dyDescent="0.25">
      <c r="A109" s="2">
        <v>107</v>
      </c>
      <c r="B109" s="2" t="s">
        <v>19834</v>
      </c>
      <c r="C109" s="2"/>
      <c r="D109" s="2" t="s">
        <v>19835</v>
      </c>
      <c r="E109" s="2" t="s">
        <v>19836</v>
      </c>
      <c r="F109" s="2" t="s">
        <v>19837</v>
      </c>
      <c r="G109" s="2" t="s">
        <v>19838</v>
      </c>
      <c r="H109" s="2" t="s">
        <v>19839</v>
      </c>
      <c r="I109" s="8" t="s">
        <v>96</v>
      </c>
      <c r="J109" s="2" t="s">
        <v>19840</v>
      </c>
      <c r="K109" s="2"/>
      <c r="L109" s="2" t="s">
        <v>19495</v>
      </c>
      <c r="M109" s="2" t="s">
        <v>9</v>
      </c>
      <c r="N109" s="2" t="s">
        <v>19841</v>
      </c>
      <c r="O109" s="2" t="s">
        <v>816</v>
      </c>
      <c r="P109" s="2" t="s">
        <v>1849</v>
      </c>
    </row>
    <row r="110" spans="1:16" ht="409.6" x14ac:dyDescent="0.25">
      <c r="A110" s="35">
        <v>108</v>
      </c>
      <c r="B110" s="34" t="s">
        <v>19842</v>
      </c>
      <c r="C110" s="35"/>
      <c r="D110" s="34" t="s">
        <v>19843</v>
      </c>
      <c r="E110" s="34" t="s">
        <v>19844</v>
      </c>
      <c r="F110" s="34" t="s">
        <v>19845</v>
      </c>
      <c r="G110" s="34" t="s">
        <v>19846</v>
      </c>
      <c r="H110" s="34" t="s">
        <v>19847</v>
      </c>
      <c r="I110" s="35">
        <v>1</v>
      </c>
      <c r="J110" s="34" t="s">
        <v>19848</v>
      </c>
      <c r="K110" s="35"/>
      <c r="L110" s="34" t="s">
        <v>19849</v>
      </c>
      <c r="M110" s="35" t="s">
        <v>9</v>
      </c>
      <c r="N110" s="34" t="s">
        <v>19850</v>
      </c>
      <c r="O110" s="35" t="s">
        <v>164</v>
      </c>
      <c r="P110" s="35" t="s">
        <v>2155</v>
      </c>
    </row>
    <row r="111" spans="1:16" ht="409.6" x14ac:dyDescent="0.25">
      <c r="A111" s="35">
        <v>109</v>
      </c>
      <c r="B111" s="34" t="s">
        <v>19851</v>
      </c>
      <c r="C111" s="35"/>
      <c r="D111" s="34" t="s">
        <v>2208</v>
      </c>
      <c r="E111" s="34" t="s">
        <v>19852</v>
      </c>
      <c r="F111" s="34" t="s">
        <v>19853</v>
      </c>
      <c r="G111" s="34" t="s">
        <v>19854</v>
      </c>
      <c r="H111" s="34" t="s">
        <v>19855</v>
      </c>
      <c r="I111" s="35">
        <v>1</v>
      </c>
      <c r="J111" s="34" t="s">
        <v>19856</v>
      </c>
      <c r="K111" s="35"/>
      <c r="L111" s="34" t="s">
        <v>19849</v>
      </c>
      <c r="M111" s="35" t="s">
        <v>9</v>
      </c>
      <c r="N111" s="34" t="s">
        <v>19857</v>
      </c>
      <c r="O111" s="35" t="s">
        <v>164</v>
      </c>
      <c r="P111" s="35" t="s">
        <v>3354</v>
      </c>
    </row>
    <row r="112" spans="1:16" ht="409.6" x14ac:dyDescent="0.25">
      <c r="A112" s="35">
        <v>110</v>
      </c>
      <c r="B112" s="34" t="s">
        <v>19858</v>
      </c>
      <c r="C112" s="35"/>
      <c r="D112" s="34" t="s">
        <v>19859</v>
      </c>
      <c r="E112" s="34" t="s">
        <v>19860</v>
      </c>
      <c r="F112" s="34" t="s">
        <v>19861</v>
      </c>
      <c r="G112" s="34" t="s">
        <v>19862</v>
      </c>
      <c r="H112" s="34" t="s">
        <v>19863</v>
      </c>
      <c r="I112" s="35">
        <v>1</v>
      </c>
      <c r="J112" s="34" t="s">
        <v>19864</v>
      </c>
      <c r="K112" s="35"/>
      <c r="L112" s="34" t="s">
        <v>19849</v>
      </c>
      <c r="M112" s="35" t="s">
        <v>9</v>
      </c>
      <c r="N112" s="34" t="s">
        <v>14522</v>
      </c>
      <c r="O112" s="35" t="s">
        <v>164</v>
      </c>
      <c r="P112" s="35" t="s">
        <v>2206</v>
      </c>
    </row>
    <row r="113" spans="1:16" ht="409.6" x14ac:dyDescent="0.25">
      <c r="A113" s="35">
        <v>111</v>
      </c>
      <c r="B113" s="34" t="s">
        <v>19865</v>
      </c>
      <c r="C113" s="35"/>
      <c r="D113" s="34" t="s">
        <v>19866</v>
      </c>
      <c r="E113" s="34" t="s">
        <v>19867</v>
      </c>
      <c r="F113" s="34" t="s">
        <v>19868</v>
      </c>
      <c r="G113" s="34" t="s">
        <v>19869</v>
      </c>
      <c r="H113" s="34" t="s">
        <v>19870</v>
      </c>
      <c r="I113" s="35">
        <v>1</v>
      </c>
      <c r="J113" s="34" t="s">
        <v>19871</v>
      </c>
      <c r="K113" s="35"/>
      <c r="L113" s="34" t="s">
        <v>19849</v>
      </c>
      <c r="M113" s="35" t="s">
        <v>9</v>
      </c>
      <c r="N113" s="34" t="s">
        <v>19872</v>
      </c>
      <c r="O113" s="35" t="s">
        <v>164</v>
      </c>
      <c r="P113" s="35" t="s">
        <v>2271</v>
      </c>
    </row>
    <row r="114" spans="1:16" ht="409.6" x14ac:dyDescent="0.25">
      <c r="A114" s="35">
        <v>112</v>
      </c>
      <c r="B114" s="34" t="s">
        <v>19873</v>
      </c>
      <c r="C114" s="35" t="s">
        <v>19874</v>
      </c>
      <c r="D114" s="34" t="s">
        <v>19875</v>
      </c>
      <c r="E114" s="34" t="s">
        <v>19876</v>
      </c>
      <c r="F114" s="34" t="s">
        <v>19877</v>
      </c>
      <c r="G114" s="34" t="s">
        <v>19878</v>
      </c>
      <c r="H114" s="34" t="s">
        <v>19879</v>
      </c>
      <c r="I114" s="35">
        <v>1</v>
      </c>
      <c r="J114" s="34" t="s">
        <v>19880</v>
      </c>
      <c r="K114" s="35"/>
      <c r="L114" s="34" t="s">
        <v>19849</v>
      </c>
      <c r="M114" s="35" t="s">
        <v>9</v>
      </c>
      <c r="N114" s="34" t="s">
        <v>19881</v>
      </c>
      <c r="O114" s="35" t="s">
        <v>164</v>
      </c>
      <c r="P114" s="35" t="s">
        <v>2271</v>
      </c>
    </row>
    <row r="115" spans="1:16" ht="409.6" x14ac:dyDescent="0.25">
      <c r="A115" s="35">
        <v>113</v>
      </c>
      <c r="B115" s="34" t="s">
        <v>19882</v>
      </c>
      <c r="C115" s="35"/>
      <c r="D115" s="34" t="s">
        <v>4886</v>
      </c>
      <c r="E115" s="34" t="s">
        <v>4887</v>
      </c>
      <c r="F115" s="34" t="s">
        <v>4888</v>
      </c>
      <c r="G115" s="34" t="s">
        <v>4889</v>
      </c>
      <c r="H115" s="34" t="s">
        <v>19883</v>
      </c>
      <c r="I115" s="35">
        <v>1</v>
      </c>
      <c r="J115" s="34" t="s">
        <v>19884</v>
      </c>
      <c r="K115" s="35"/>
      <c r="L115" s="34" t="s">
        <v>19849</v>
      </c>
      <c r="M115" s="35" t="s">
        <v>9</v>
      </c>
      <c r="N115" s="34" t="s">
        <v>18654</v>
      </c>
      <c r="O115" s="35" t="s">
        <v>164</v>
      </c>
      <c r="P115" s="35" t="s">
        <v>2436</v>
      </c>
    </row>
    <row r="116" spans="1:16" ht="409.6" x14ac:dyDescent="0.25">
      <c r="A116" s="35">
        <v>114</v>
      </c>
      <c r="B116" s="34" t="s">
        <v>19885</v>
      </c>
      <c r="C116" s="35"/>
      <c r="D116" s="34" t="s">
        <v>13232</v>
      </c>
      <c r="E116" s="34" t="s">
        <v>19576</v>
      </c>
      <c r="F116" s="34" t="s">
        <v>19577</v>
      </c>
      <c r="G116" s="34" t="s">
        <v>19578</v>
      </c>
      <c r="H116" s="34" t="s">
        <v>19886</v>
      </c>
      <c r="I116" s="35">
        <v>1</v>
      </c>
      <c r="J116" s="34" t="s">
        <v>19887</v>
      </c>
      <c r="K116" s="35"/>
      <c r="L116" s="34" t="s">
        <v>19849</v>
      </c>
      <c r="M116" s="35" t="s">
        <v>9</v>
      </c>
      <c r="N116" s="34" t="s">
        <v>15796</v>
      </c>
      <c r="O116" s="35" t="s">
        <v>164</v>
      </c>
      <c r="P116" s="35" t="s">
        <v>2436</v>
      </c>
    </row>
    <row r="117" spans="1:16" ht="409.6" x14ac:dyDescent="0.25">
      <c r="A117" s="35">
        <v>115</v>
      </c>
      <c r="B117" s="34" t="s">
        <v>19888</v>
      </c>
      <c r="C117" s="35"/>
      <c r="D117" s="34" t="s">
        <v>7049</v>
      </c>
      <c r="E117" s="34" t="s">
        <v>7050</v>
      </c>
      <c r="F117" s="34" t="s">
        <v>19558</v>
      </c>
      <c r="G117" s="34" t="s">
        <v>19889</v>
      </c>
      <c r="H117" s="34"/>
      <c r="I117" s="35">
        <v>1</v>
      </c>
      <c r="J117" s="34" t="s">
        <v>19890</v>
      </c>
      <c r="K117" s="35"/>
      <c r="L117" s="34" t="s">
        <v>19849</v>
      </c>
      <c r="M117" s="35" t="s">
        <v>9</v>
      </c>
      <c r="N117" s="34" t="s">
        <v>15803</v>
      </c>
      <c r="O117" s="35" t="s">
        <v>164</v>
      </c>
      <c r="P117" s="35" t="s">
        <v>2436</v>
      </c>
    </row>
    <row r="118" spans="1:16" ht="409.6" x14ac:dyDescent="0.25">
      <c r="A118" s="35">
        <v>116</v>
      </c>
      <c r="B118" s="34" t="s">
        <v>19885</v>
      </c>
      <c r="C118" s="35"/>
      <c r="D118" s="34" t="s">
        <v>13232</v>
      </c>
      <c r="E118" s="34" t="s">
        <v>19576</v>
      </c>
      <c r="F118" s="34" t="s">
        <v>19577</v>
      </c>
      <c r="G118" s="34" t="s">
        <v>19578</v>
      </c>
      <c r="H118" s="34" t="s">
        <v>19886</v>
      </c>
      <c r="I118" s="35">
        <v>1</v>
      </c>
      <c r="J118" s="34" t="s">
        <v>19891</v>
      </c>
      <c r="K118" s="35"/>
      <c r="L118" s="34" t="s">
        <v>19849</v>
      </c>
      <c r="M118" s="35" t="s">
        <v>9</v>
      </c>
      <c r="N118" s="34" t="s">
        <v>15777</v>
      </c>
      <c r="O118" s="35" t="s">
        <v>164</v>
      </c>
      <c r="P118" s="35" t="s">
        <v>2436</v>
      </c>
    </row>
    <row r="119" spans="1:16" ht="409.6" x14ac:dyDescent="0.25">
      <c r="A119" s="35">
        <v>117</v>
      </c>
      <c r="B119" s="34" t="s">
        <v>19892</v>
      </c>
      <c r="C119" s="35"/>
      <c r="D119" s="34" t="s">
        <v>19893</v>
      </c>
      <c r="E119" s="34" t="s">
        <v>19894</v>
      </c>
      <c r="F119" s="34" t="s">
        <v>19895</v>
      </c>
      <c r="G119" s="34" t="s">
        <v>19896</v>
      </c>
      <c r="H119" s="34" t="s">
        <v>19897</v>
      </c>
      <c r="I119" s="35">
        <v>1</v>
      </c>
      <c r="J119" s="34" t="s">
        <v>19898</v>
      </c>
      <c r="K119" s="35"/>
      <c r="L119" s="34" t="s">
        <v>19849</v>
      </c>
      <c r="M119" s="35" t="s">
        <v>9</v>
      </c>
      <c r="N119" s="34" t="s">
        <v>19899</v>
      </c>
      <c r="O119" s="35" t="s">
        <v>164</v>
      </c>
      <c r="P119" s="35" t="s">
        <v>2514</v>
      </c>
    </row>
  </sheetData>
  <mergeCells count="1">
    <mergeCell ref="A1:F1"/>
  </mergeCell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P35"/>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26.25" customHeight="1" x14ac:dyDescent="0.25">
      <c r="A1" s="52" t="str">
        <f>HYPERLINK("#gid=0", "🏠 กลับสู่หน้าแรก (Go to Home Page)")</f>
        <v>🏠 กลับสู่หน้าแรก (Go to Home Page)</v>
      </c>
      <c r="B1" s="49"/>
      <c r="C1" s="49"/>
      <c r="D1" s="49"/>
      <c r="E1" s="49"/>
      <c r="F1" s="49"/>
    </row>
    <row r="2" spans="1:16"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6" ht="409.6" x14ac:dyDescent="0.25">
      <c r="A3" s="35">
        <v>1</v>
      </c>
      <c r="B3" s="34" t="s">
        <v>19900</v>
      </c>
      <c r="C3" s="35"/>
      <c r="D3" s="34" t="s">
        <v>19901</v>
      </c>
      <c r="E3" s="34" t="s">
        <v>19902</v>
      </c>
      <c r="F3" s="34" t="s">
        <v>19903</v>
      </c>
      <c r="G3" s="34" t="s">
        <v>19904</v>
      </c>
      <c r="H3" s="34" t="s">
        <v>19905</v>
      </c>
      <c r="I3" s="35">
        <v>1</v>
      </c>
      <c r="J3" s="34" t="s">
        <v>19906</v>
      </c>
      <c r="K3" s="35"/>
      <c r="L3" s="34" t="s">
        <v>19907</v>
      </c>
      <c r="M3" s="35" t="s">
        <v>9</v>
      </c>
      <c r="N3" s="34" t="s">
        <v>19908</v>
      </c>
      <c r="O3" s="35" t="s">
        <v>164</v>
      </c>
      <c r="P3" s="35" t="s">
        <v>1865</v>
      </c>
    </row>
    <row r="4" spans="1:16" ht="409.6" x14ac:dyDescent="0.25">
      <c r="A4" s="35">
        <v>2</v>
      </c>
      <c r="B4" s="34" t="s">
        <v>19909</v>
      </c>
      <c r="C4" s="35" t="s">
        <v>19910</v>
      </c>
      <c r="D4" s="34" t="s">
        <v>19911</v>
      </c>
      <c r="E4" s="34" t="s">
        <v>19912</v>
      </c>
      <c r="F4" s="34" t="s">
        <v>19913</v>
      </c>
      <c r="G4" s="34" t="s">
        <v>19914</v>
      </c>
      <c r="H4" s="34" t="s">
        <v>19915</v>
      </c>
      <c r="I4" s="35">
        <v>1</v>
      </c>
      <c r="J4" s="34" t="s">
        <v>19916</v>
      </c>
      <c r="K4" s="35"/>
      <c r="L4" s="34" t="s">
        <v>19907</v>
      </c>
      <c r="M4" s="35" t="s">
        <v>9</v>
      </c>
      <c r="N4" s="34" t="s">
        <v>19917</v>
      </c>
      <c r="O4" s="35" t="s">
        <v>164</v>
      </c>
      <c r="P4" s="35" t="s">
        <v>2155</v>
      </c>
    </row>
    <row r="5" spans="1:16" ht="409.6" x14ac:dyDescent="0.25">
      <c r="A5" s="35">
        <v>3</v>
      </c>
      <c r="B5" s="34" t="s">
        <v>19918</v>
      </c>
      <c r="C5" s="35"/>
      <c r="D5" s="34" t="s">
        <v>19919</v>
      </c>
      <c r="E5" s="34" t="s">
        <v>19920</v>
      </c>
      <c r="F5" s="34" t="s">
        <v>19921</v>
      </c>
      <c r="G5" s="34" t="s">
        <v>19922</v>
      </c>
      <c r="H5" s="34" t="s">
        <v>19923</v>
      </c>
      <c r="I5" s="35">
        <v>1</v>
      </c>
      <c r="J5" s="34" t="s">
        <v>19924</v>
      </c>
      <c r="K5" s="35"/>
      <c r="L5" s="34" t="s">
        <v>19907</v>
      </c>
      <c r="M5" s="35" t="s">
        <v>9</v>
      </c>
      <c r="N5" s="34" t="s">
        <v>19925</v>
      </c>
      <c r="O5" s="35" t="s">
        <v>164</v>
      </c>
      <c r="P5" s="35" t="s">
        <v>2155</v>
      </c>
    </row>
    <row r="6" spans="1:16" ht="409.6" x14ac:dyDescent="0.25">
      <c r="A6" s="35">
        <v>4</v>
      </c>
      <c r="B6" s="34" t="s">
        <v>19926</v>
      </c>
      <c r="C6" s="35"/>
      <c r="D6" s="34" t="s">
        <v>19927</v>
      </c>
      <c r="E6" s="34" t="s">
        <v>19928</v>
      </c>
      <c r="F6" s="34" t="s">
        <v>19929</v>
      </c>
      <c r="G6" s="34" t="s">
        <v>19930</v>
      </c>
      <c r="H6" s="34" t="s">
        <v>19931</v>
      </c>
      <c r="I6" s="35">
        <v>1</v>
      </c>
      <c r="J6" s="34" t="s">
        <v>19932</v>
      </c>
      <c r="K6" s="35"/>
      <c r="L6" s="34" t="s">
        <v>19907</v>
      </c>
      <c r="M6" s="35" t="s">
        <v>9</v>
      </c>
      <c r="N6" s="34" t="s">
        <v>19933</v>
      </c>
      <c r="O6" s="35" t="s">
        <v>164</v>
      </c>
      <c r="P6" s="35" t="s">
        <v>2155</v>
      </c>
    </row>
    <row r="7" spans="1:16" ht="409.6" x14ac:dyDescent="0.25">
      <c r="A7" s="35">
        <v>5</v>
      </c>
      <c r="B7" s="34" t="s">
        <v>19934</v>
      </c>
      <c r="C7" s="35"/>
      <c r="D7" s="34" t="s">
        <v>19935</v>
      </c>
      <c r="E7" s="34" t="s">
        <v>19936</v>
      </c>
      <c r="F7" s="34" t="s">
        <v>19937</v>
      </c>
      <c r="G7" s="34" t="s">
        <v>19938</v>
      </c>
      <c r="H7" s="34" t="s">
        <v>19939</v>
      </c>
      <c r="I7" s="35">
        <v>1</v>
      </c>
      <c r="J7" s="34" t="s">
        <v>19940</v>
      </c>
      <c r="K7" s="35"/>
      <c r="L7" s="34" t="s">
        <v>19907</v>
      </c>
      <c r="M7" s="35" t="s">
        <v>9</v>
      </c>
      <c r="N7" s="34" t="s">
        <v>19941</v>
      </c>
      <c r="O7" s="35" t="s">
        <v>164</v>
      </c>
      <c r="P7" s="35" t="s">
        <v>2155</v>
      </c>
    </row>
    <row r="8" spans="1:16" ht="409.6" x14ac:dyDescent="0.25">
      <c r="A8" s="35">
        <v>6</v>
      </c>
      <c r="B8" s="34" t="s">
        <v>19942</v>
      </c>
      <c r="C8" s="35"/>
      <c r="D8" s="34" t="s">
        <v>19943</v>
      </c>
      <c r="E8" s="34" t="s">
        <v>594</v>
      </c>
      <c r="F8" s="34" t="s">
        <v>593</v>
      </c>
      <c r="G8" s="34" t="s">
        <v>596</v>
      </c>
      <c r="H8" s="34" t="s">
        <v>19944</v>
      </c>
      <c r="I8" s="35">
        <v>1</v>
      </c>
      <c r="J8" s="34" t="s">
        <v>19945</v>
      </c>
      <c r="K8" s="35"/>
      <c r="L8" s="34" t="s">
        <v>19907</v>
      </c>
      <c r="M8" s="35" t="s">
        <v>9</v>
      </c>
      <c r="N8" s="34" t="s">
        <v>19946</v>
      </c>
      <c r="O8" s="35" t="s">
        <v>164</v>
      </c>
      <c r="P8" s="35" t="s">
        <v>2155</v>
      </c>
    </row>
    <row r="9" spans="1:16" ht="409.6" x14ac:dyDescent="0.25">
      <c r="A9" s="35">
        <v>7</v>
      </c>
      <c r="B9" s="34" t="s">
        <v>19947</v>
      </c>
      <c r="C9" s="35"/>
      <c r="D9" s="34" t="s">
        <v>19948</v>
      </c>
      <c r="E9" s="34" t="s">
        <v>19949</v>
      </c>
      <c r="F9" s="34" t="s">
        <v>5429</v>
      </c>
      <c r="G9" s="34" t="s">
        <v>5427</v>
      </c>
      <c r="H9" s="34" t="s">
        <v>19950</v>
      </c>
      <c r="I9" s="35">
        <v>1</v>
      </c>
      <c r="J9" s="34" t="s">
        <v>19951</v>
      </c>
      <c r="K9" s="35"/>
      <c r="L9" s="34" t="s">
        <v>19907</v>
      </c>
      <c r="M9" s="35" t="s">
        <v>9</v>
      </c>
      <c r="N9" s="34" t="s">
        <v>19952</v>
      </c>
      <c r="O9" s="35" t="s">
        <v>164</v>
      </c>
      <c r="P9" s="35" t="s">
        <v>2155</v>
      </c>
    </row>
    <row r="10" spans="1:16" ht="409.6" x14ac:dyDescent="0.25">
      <c r="A10" s="35">
        <v>8</v>
      </c>
      <c r="B10" s="34" t="s">
        <v>19953</v>
      </c>
      <c r="C10" s="35"/>
      <c r="D10" s="34" t="s">
        <v>19954</v>
      </c>
      <c r="E10" s="34" t="s">
        <v>19955</v>
      </c>
      <c r="F10" s="34" t="s">
        <v>19956</v>
      </c>
      <c r="G10" s="34" t="s">
        <v>19957</v>
      </c>
      <c r="H10" s="34" t="s">
        <v>19958</v>
      </c>
      <c r="I10" s="35">
        <v>1</v>
      </c>
      <c r="J10" s="34" t="s">
        <v>19959</v>
      </c>
      <c r="K10" s="35"/>
      <c r="L10" s="34" t="s">
        <v>19907</v>
      </c>
      <c r="M10" s="35" t="s">
        <v>9</v>
      </c>
      <c r="N10" s="34" t="s">
        <v>19960</v>
      </c>
      <c r="O10" s="35" t="s">
        <v>164</v>
      </c>
      <c r="P10" s="35" t="s">
        <v>2155</v>
      </c>
    </row>
    <row r="11" spans="1:16" ht="409.6" x14ac:dyDescent="0.25">
      <c r="A11" s="35">
        <v>9</v>
      </c>
      <c r="B11" s="34" t="s">
        <v>19961</v>
      </c>
      <c r="C11" s="35"/>
      <c r="D11" s="34" t="s">
        <v>19962</v>
      </c>
      <c r="E11" s="34" t="s">
        <v>19963</v>
      </c>
      <c r="F11" s="34" t="s">
        <v>19964</v>
      </c>
      <c r="G11" s="34" t="s">
        <v>19901</v>
      </c>
      <c r="H11" s="34" t="s">
        <v>19965</v>
      </c>
      <c r="I11" s="35">
        <v>1</v>
      </c>
      <c r="J11" s="34" t="s">
        <v>19966</v>
      </c>
      <c r="K11" s="35"/>
      <c r="L11" s="34" t="s">
        <v>19907</v>
      </c>
      <c r="M11" s="35" t="s">
        <v>9</v>
      </c>
      <c r="N11" s="34" t="s">
        <v>19967</v>
      </c>
      <c r="O11" s="35" t="s">
        <v>164</v>
      </c>
      <c r="P11" s="35" t="s">
        <v>2155</v>
      </c>
    </row>
    <row r="12" spans="1:16" ht="409.6" x14ac:dyDescent="0.25">
      <c r="A12" s="35">
        <v>10</v>
      </c>
      <c r="B12" s="34" t="s">
        <v>19968</v>
      </c>
      <c r="C12" s="35"/>
      <c r="D12" s="34" t="s">
        <v>19969</v>
      </c>
      <c r="E12" s="34" t="s">
        <v>19970</v>
      </c>
      <c r="F12" s="34" t="s">
        <v>19971</v>
      </c>
      <c r="G12" s="34" t="s">
        <v>19972</v>
      </c>
      <c r="H12" s="34" t="s">
        <v>19973</v>
      </c>
      <c r="I12" s="35">
        <v>1</v>
      </c>
      <c r="J12" s="34" t="s">
        <v>19974</v>
      </c>
      <c r="K12" s="35"/>
      <c r="L12" s="34" t="s">
        <v>19907</v>
      </c>
      <c r="M12" s="35" t="s">
        <v>9</v>
      </c>
      <c r="N12" s="34" t="s">
        <v>19975</v>
      </c>
      <c r="O12" s="35" t="s">
        <v>164</v>
      </c>
      <c r="P12" s="35" t="s">
        <v>2155</v>
      </c>
    </row>
    <row r="13" spans="1:16" ht="409.6" x14ac:dyDescent="0.25">
      <c r="A13" s="35">
        <v>11</v>
      </c>
      <c r="B13" s="34" t="s">
        <v>19976</v>
      </c>
      <c r="C13" s="35"/>
      <c r="D13" s="34" t="s">
        <v>19977</v>
      </c>
      <c r="E13" s="34" t="s">
        <v>19978</v>
      </c>
      <c r="F13" s="34" t="s">
        <v>19979</v>
      </c>
      <c r="G13" s="34" t="s">
        <v>19980</v>
      </c>
      <c r="H13" s="34" t="s">
        <v>19981</v>
      </c>
      <c r="I13" s="35">
        <v>1</v>
      </c>
      <c r="J13" s="34" t="s">
        <v>19982</v>
      </c>
      <c r="K13" s="35"/>
      <c r="L13" s="34" t="s">
        <v>19907</v>
      </c>
      <c r="M13" s="35" t="s">
        <v>9</v>
      </c>
      <c r="N13" s="34" t="s">
        <v>19983</v>
      </c>
      <c r="O13" s="35" t="s">
        <v>164</v>
      </c>
      <c r="P13" s="35" t="s">
        <v>2155</v>
      </c>
    </row>
    <row r="14" spans="1:16" ht="409.6" x14ac:dyDescent="0.25">
      <c r="A14" s="35">
        <v>12</v>
      </c>
      <c r="B14" s="34" t="s">
        <v>19984</v>
      </c>
      <c r="C14" s="35"/>
      <c r="D14" s="34" t="s">
        <v>19985</v>
      </c>
      <c r="E14" s="34" t="s">
        <v>19986</v>
      </c>
      <c r="F14" s="34" t="s">
        <v>19987</v>
      </c>
      <c r="G14" s="34" t="s">
        <v>19988</v>
      </c>
      <c r="H14" s="34" t="s">
        <v>19989</v>
      </c>
      <c r="I14" s="35">
        <v>1</v>
      </c>
      <c r="J14" s="34" t="s">
        <v>19990</v>
      </c>
      <c r="K14" s="35"/>
      <c r="L14" s="34" t="s">
        <v>19907</v>
      </c>
      <c r="M14" s="35" t="s">
        <v>9</v>
      </c>
      <c r="N14" s="34" t="s">
        <v>19991</v>
      </c>
      <c r="O14" s="35" t="s">
        <v>164</v>
      </c>
      <c r="P14" s="35" t="s">
        <v>2155</v>
      </c>
    </row>
    <row r="15" spans="1:16" ht="409.6" x14ac:dyDescent="0.25">
      <c r="A15" s="35">
        <v>13</v>
      </c>
      <c r="B15" s="34" t="s">
        <v>19992</v>
      </c>
      <c r="C15" s="35"/>
      <c r="D15" s="34" t="s">
        <v>19993</v>
      </c>
      <c r="E15" s="34" t="s">
        <v>19973</v>
      </c>
      <c r="F15" s="34" t="s">
        <v>19994</v>
      </c>
      <c r="G15" s="34" t="s">
        <v>19995</v>
      </c>
      <c r="H15" s="34" t="s">
        <v>19996</v>
      </c>
      <c r="I15" s="35">
        <v>1</v>
      </c>
      <c r="J15" s="34" t="s">
        <v>19997</v>
      </c>
      <c r="K15" s="35"/>
      <c r="L15" s="34" t="s">
        <v>19907</v>
      </c>
      <c r="M15" s="35" t="s">
        <v>9</v>
      </c>
      <c r="N15" s="34" t="s">
        <v>19998</v>
      </c>
      <c r="O15" s="35" t="s">
        <v>164</v>
      </c>
      <c r="P15" s="35" t="s">
        <v>2155</v>
      </c>
    </row>
    <row r="16" spans="1:16" ht="409.6" x14ac:dyDescent="0.25">
      <c r="A16" s="35">
        <v>14</v>
      </c>
      <c r="B16" s="34" t="s">
        <v>19999</v>
      </c>
      <c r="C16" s="35"/>
      <c r="D16" s="34" t="s">
        <v>20000</v>
      </c>
      <c r="E16" s="34" t="s">
        <v>20001</v>
      </c>
      <c r="F16" s="34" t="s">
        <v>20002</v>
      </c>
      <c r="G16" s="34" t="s">
        <v>20003</v>
      </c>
      <c r="H16" s="34" t="s">
        <v>20004</v>
      </c>
      <c r="I16" s="35">
        <v>1</v>
      </c>
      <c r="J16" s="34" t="s">
        <v>20005</v>
      </c>
      <c r="K16" s="35"/>
      <c r="L16" s="34" t="s">
        <v>19907</v>
      </c>
      <c r="M16" s="35" t="s">
        <v>9</v>
      </c>
      <c r="N16" s="34" t="s">
        <v>20006</v>
      </c>
      <c r="O16" s="35" t="s">
        <v>164</v>
      </c>
      <c r="P16" s="35" t="s">
        <v>2155</v>
      </c>
    </row>
    <row r="17" spans="1:16" ht="409.6" x14ac:dyDescent="0.25">
      <c r="A17" s="35">
        <v>15</v>
      </c>
      <c r="B17" s="34" t="s">
        <v>20007</v>
      </c>
      <c r="C17" s="35"/>
      <c r="D17" s="34" t="s">
        <v>10989</v>
      </c>
      <c r="E17" s="34" t="s">
        <v>2949</v>
      </c>
      <c r="F17" s="34" t="s">
        <v>3108</v>
      </c>
      <c r="G17" s="34" t="s">
        <v>348</v>
      </c>
      <c r="H17" s="34" t="s">
        <v>20008</v>
      </c>
      <c r="I17" s="35">
        <v>1</v>
      </c>
      <c r="J17" s="34" t="s">
        <v>20009</v>
      </c>
      <c r="K17" s="35"/>
      <c r="L17" s="34" t="s">
        <v>19907</v>
      </c>
      <c r="M17" s="35" t="s">
        <v>9</v>
      </c>
      <c r="N17" s="34" t="s">
        <v>20010</v>
      </c>
      <c r="O17" s="35" t="s">
        <v>164</v>
      </c>
      <c r="P17" s="35" t="s">
        <v>2155</v>
      </c>
    </row>
    <row r="18" spans="1:16" ht="409.6" x14ac:dyDescent="0.25">
      <c r="A18" s="35">
        <v>16</v>
      </c>
      <c r="B18" s="34" t="s">
        <v>20011</v>
      </c>
      <c r="C18" s="35"/>
      <c r="D18" s="34" t="s">
        <v>3108</v>
      </c>
      <c r="E18" s="34" t="s">
        <v>348</v>
      </c>
      <c r="F18" s="34" t="s">
        <v>614</v>
      </c>
      <c r="G18" s="34" t="s">
        <v>346</v>
      </c>
      <c r="H18" s="34" t="s">
        <v>20012</v>
      </c>
      <c r="I18" s="35">
        <v>1</v>
      </c>
      <c r="J18" s="34" t="s">
        <v>20013</v>
      </c>
      <c r="K18" s="35"/>
      <c r="L18" s="34" t="s">
        <v>19907</v>
      </c>
      <c r="M18" s="35" t="s">
        <v>9</v>
      </c>
      <c r="N18" s="34" t="s">
        <v>20014</v>
      </c>
      <c r="O18" s="35" t="s">
        <v>164</v>
      </c>
      <c r="P18" s="35" t="s">
        <v>2155</v>
      </c>
    </row>
    <row r="19" spans="1:16" ht="409.6" x14ac:dyDescent="0.25">
      <c r="A19" s="35">
        <v>17</v>
      </c>
      <c r="B19" s="34" t="s">
        <v>20015</v>
      </c>
      <c r="C19" s="35"/>
      <c r="D19" s="34" t="s">
        <v>10989</v>
      </c>
      <c r="E19" s="34" t="s">
        <v>614</v>
      </c>
      <c r="F19" s="34" t="s">
        <v>3108</v>
      </c>
      <c r="G19" s="34" t="s">
        <v>348</v>
      </c>
      <c r="H19" s="34" t="s">
        <v>20016</v>
      </c>
      <c r="I19" s="35">
        <v>1</v>
      </c>
      <c r="J19" s="34" t="s">
        <v>20017</v>
      </c>
      <c r="K19" s="35"/>
      <c r="L19" s="34" t="s">
        <v>19907</v>
      </c>
      <c r="M19" s="35" t="s">
        <v>9</v>
      </c>
      <c r="N19" s="34" t="s">
        <v>20018</v>
      </c>
      <c r="O19" s="35" t="s">
        <v>164</v>
      </c>
      <c r="P19" s="35" t="s">
        <v>2155</v>
      </c>
    </row>
    <row r="20" spans="1:16" ht="409.6" x14ac:dyDescent="0.25">
      <c r="A20" s="35">
        <v>18</v>
      </c>
      <c r="B20" s="34" t="s">
        <v>20019</v>
      </c>
      <c r="C20" s="35"/>
      <c r="D20" s="34" t="s">
        <v>20020</v>
      </c>
      <c r="E20" s="34" t="s">
        <v>20021</v>
      </c>
      <c r="F20" s="34" t="s">
        <v>20022</v>
      </c>
      <c r="G20" s="34" t="s">
        <v>20023</v>
      </c>
      <c r="H20" s="34" t="s">
        <v>20024</v>
      </c>
      <c r="I20" s="35">
        <v>1</v>
      </c>
      <c r="J20" s="34" t="s">
        <v>20025</v>
      </c>
      <c r="K20" s="35"/>
      <c r="L20" s="34" t="s">
        <v>19907</v>
      </c>
      <c r="M20" s="35" t="s">
        <v>9</v>
      </c>
      <c r="N20" s="34" t="s">
        <v>20026</v>
      </c>
      <c r="O20" s="35" t="s">
        <v>164</v>
      </c>
      <c r="P20" s="35" t="s">
        <v>2155</v>
      </c>
    </row>
    <row r="21" spans="1:16" ht="409.6" x14ac:dyDescent="0.25">
      <c r="A21" s="35">
        <v>19</v>
      </c>
      <c r="B21" s="34" t="s">
        <v>20027</v>
      </c>
      <c r="C21" s="35"/>
      <c r="D21" s="34" t="s">
        <v>3108</v>
      </c>
      <c r="E21" s="34" t="s">
        <v>348</v>
      </c>
      <c r="F21" s="34" t="s">
        <v>10989</v>
      </c>
      <c r="G21" s="34" t="s">
        <v>614</v>
      </c>
      <c r="H21" s="34" t="s">
        <v>20028</v>
      </c>
      <c r="I21" s="35">
        <v>1</v>
      </c>
      <c r="J21" s="34" t="s">
        <v>20029</v>
      </c>
      <c r="K21" s="35"/>
      <c r="L21" s="34" t="s">
        <v>19907</v>
      </c>
      <c r="M21" s="35" t="s">
        <v>9</v>
      </c>
      <c r="N21" s="34" t="s">
        <v>20030</v>
      </c>
      <c r="O21" s="35" t="s">
        <v>164</v>
      </c>
      <c r="P21" s="35" t="s">
        <v>2155</v>
      </c>
    </row>
    <row r="22" spans="1:16" ht="409.6" x14ac:dyDescent="0.25">
      <c r="A22" s="35">
        <v>20</v>
      </c>
      <c r="B22" s="34" t="s">
        <v>20031</v>
      </c>
      <c r="C22" s="35"/>
      <c r="D22" s="34" t="s">
        <v>20032</v>
      </c>
      <c r="E22" s="34" t="s">
        <v>2903</v>
      </c>
      <c r="F22" s="34" t="s">
        <v>2950</v>
      </c>
      <c r="G22" s="34" t="s">
        <v>5429</v>
      </c>
      <c r="H22" s="34" t="s">
        <v>20033</v>
      </c>
      <c r="I22" s="35">
        <v>1</v>
      </c>
      <c r="J22" s="34" t="s">
        <v>20034</v>
      </c>
      <c r="K22" s="35"/>
      <c r="L22" s="34" t="s">
        <v>19907</v>
      </c>
      <c r="M22" s="35" t="s">
        <v>9</v>
      </c>
      <c r="N22" s="34" t="s">
        <v>20035</v>
      </c>
      <c r="O22" s="35" t="s">
        <v>164</v>
      </c>
      <c r="P22" s="35" t="s">
        <v>2155</v>
      </c>
    </row>
    <row r="23" spans="1:16" ht="409.6" x14ac:dyDescent="0.25">
      <c r="A23" s="35">
        <v>21</v>
      </c>
      <c r="B23" s="34" t="s">
        <v>20036</v>
      </c>
      <c r="C23" s="35"/>
      <c r="D23" s="34" t="s">
        <v>20037</v>
      </c>
      <c r="E23" s="34" t="s">
        <v>20038</v>
      </c>
      <c r="F23" s="34" t="s">
        <v>20039</v>
      </c>
      <c r="G23" s="34" t="s">
        <v>20040</v>
      </c>
      <c r="H23" s="34" t="s">
        <v>20041</v>
      </c>
      <c r="I23" s="35">
        <v>1</v>
      </c>
      <c r="J23" s="34" t="s">
        <v>20042</v>
      </c>
      <c r="K23" s="35"/>
      <c r="L23" s="34" t="s">
        <v>19907</v>
      </c>
      <c r="M23" s="35" t="s">
        <v>9</v>
      </c>
      <c r="N23" s="34" t="s">
        <v>20043</v>
      </c>
      <c r="O23" s="35" t="s">
        <v>164</v>
      </c>
      <c r="P23" s="35" t="s">
        <v>2155</v>
      </c>
    </row>
    <row r="24" spans="1:16" ht="409.6" x14ac:dyDescent="0.25">
      <c r="A24" s="35">
        <v>22</v>
      </c>
      <c r="B24" s="34" t="s">
        <v>20044</v>
      </c>
      <c r="C24" s="35"/>
      <c r="D24" s="34" t="s">
        <v>20045</v>
      </c>
      <c r="E24" s="34" t="s">
        <v>17734</v>
      </c>
      <c r="F24" s="34" t="s">
        <v>20046</v>
      </c>
      <c r="G24" s="34" t="s">
        <v>20047</v>
      </c>
      <c r="H24" s="34" t="s">
        <v>20048</v>
      </c>
      <c r="I24" s="35">
        <v>1</v>
      </c>
      <c r="J24" s="34" t="s">
        <v>20049</v>
      </c>
      <c r="K24" s="35"/>
      <c r="L24" s="34" t="s">
        <v>19907</v>
      </c>
      <c r="M24" s="35" t="s">
        <v>9</v>
      </c>
      <c r="N24" s="34" t="s">
        <v>20050</v>
      </c>
      <c r="O24" s="35" t="s">
        <v>164</v>
      </c>
      <c r="P24" s="35" t="s">
        <v>2155</v>
      </c>
    </row>
    <row r="25" spans="1:16" ht="409.6" x14ac:dyDescent="0.25">
      <c r="A25" s="35">
        <v>23</v>
      </c>
      <c r="B25" s="34" t="s">
        <v>20051</v>
      </c>
      <c r="C25" s="35"/>
      <c r="D25" s="34"/>
      <c r="E25" s="34" t="s">
        <v>17735</v>
      </c>
      <c r="F25" s="34" t="s">
        <v>20052</v>
      </c>
      <c r="G25" s="34" t="s">
        <v>20053</v>
      </c>
      <c r="H25" s="34" t="s">
        <v>20054</v>
      </c>
      <c r="I25" s="35">
        <v>1</v>
      </c>
      <c r="J25" s="34" t="s">
        <v>20055</v>
      </c>
      <c r="K25" s="35"/>
      <c r="L25" s="34" t="s">
        <v>19907</v>
      </c>
      <c r="M25" s="35" t="s">
        <v>9</v>
      </c>
      <c r="N25" s="34" t="s">
        <v>20056</v>
      </c>
      <c r="O25" s="35" t="s">
        <v>164</v>
      </c>
      <c r="P25" s="35" t="s">
        <v>2155</v>
      </c>
    </row>
    <row r="26" spans="1:16" ht="409.6" x14ac:dyDescent="0.25">
      <c r="A26" s="35">
        <v>24</v>
      </c>
      <c r="B26" s="34" t="s">
        <v>20057</v>
      </c>
      <c r="C26" s="35"/>
      <c r="D26" s="34" t="s">
        <v>20058</v>
      </c>
      <c r="E26" s="34" t="s">
        <v>20059</v>
      </c>
      <c r="F26" s="34" t="s">
        <v>20060</v>
      </c>
      <c r="G26" s="34" t="s">
        <v>20061</v>
      </c>
      <c r="H26" s="34" t="s">
        <v>20062</v>
      </c>
      <c r="I26" s="35">
        <v>4</v>
      </c>
      <c r="J26" s="34" t="s">
        <v>20063</v>
      </c>
      <c r="K26" s="35"/>
      <c r="L26" s="34" t="s">
        <v>19907</v>
      </c>
      <c r="M26" s="35" t="s">
        <v>9</v>
      </c>
      <c r="N26" s="34" t="s">
        <v>20064</v>
      </c>
      <c r="O26" s="35" t="s">
        <v>164</v>
      </c>
      <c r="P26" s="35" t="s">
        <v>3354</v>
      </c>
    </row>
    <row r="27" spans="1:16" ht="409.6" x14ac:dyDescent="0.25">
      <c r="A27" s="35">
        <v>25</v>
      </c>
      <c r="B27" s="34" t="s">
        <v>20065</v>
      </c>
      <c r="C27" s="35"/>
      <c r="D27" s="34" t="s">
        <v>20066</v>
      </c>
      <c r="E27" s="34" t="s">
        <v>20067</v>
      </c>
      <c r="F27" s="34" t="s">
        <v>20068</v>
      </c>
      <c r="G27" s="34" t="s">
        <v>19922</v>
      </c>
      <c r="H27" s="34" t="s">
        <v>20069</v>
      </c>
      <c r="I27" s="35">
        <v>3</v>
      </c>
      <c r="J27" s="34" t="s">
        <v>20070</v>
      </c>
      <c r="K27" s="35"/>
      <c r="L27" s="34" t="s">
        <v>19907</v>
      </c>
      <c r="M27" s="35" t="s">
        <v>9</v>
      </c>
      <c r="N27" s="34" t="s">
        <v>20071</v>
      </c>
      <c r="O27" s="35" t="s">
        <v>164</v>
      </c>
      <c r="P27" s="35" t="s">
        <v>3354</v>
      </c>
    </row>
    <row r="28" spans="1:16" ht="409.6" x14ac:dyDescent="0.25">
      <c r="A28" s="35">
        <v>26</v>
      </c>
      <c r="B28" s="34" t="s">
        <v>20072</v>
      </c>
      <c r="C28" s="35"/>
      <c r="D28" s="34" t="s">
        <v>614</v>
      </c>
      <c r="E28" s="34" t="s">
        <v>345</v>
      </c>
      <c r="F28" s="34" t="s">
        <v>348</v>
      </c>
      <c r="G28" s="34" t="s">
        <v>3106</v>
      </c>
      <c r="H28" s="34" t="s">
        <v>20073</v>
      </c>
      <c r="I28" s="35">
        <v>1</v>
      </c>
      <c r="J28" s="34" t="s">
        <v>20074</v>
      </c>
      <c r="K28" s="35"/>
      <c r="L28" s="34" t="s">
        <v>19907</v>
      </c>
      <c r="M28" s="35" t="s">
        <v>9</v>
      </c>
      <c r="N28" s="34" t="s">
        <v>17290</v>
      </c>
      <c r="O28" s="35" t="s">
        <v>164</v>
      </c>
      <c r="P28" s="35" t="s">
        <v>2206</v>
      </c>
    </row>
    <row r="29" spans="1:16" ht="409.6" x14ac:dyDescent="0.25">
      <c r="A29" s="35">
        <v>27</v>
      </c>
      <c r="B29" s="34" t="s">
        <v>20075</v>
      </c>
      <c r="C29" s="35"/>
      <c r="D29" s="34" t="s">
        <v>9809</v>
      </c>
      <c r="E29" s="34" t="s">
        <v>9781</v>
      </c>
      <c r="F29" s="34" t="s">
        <v>20076</v>
      </c>
      <c r="G29" s="34" t="s">
        <v>3181</v>
      </c>
      <c r="H29" s="34" t="s">
        <v>20077</v>
      </c>
      <c r="I29" s="35">
        <v>1</v>
      </c>
      <c r="J29" s="34" t="s">
        <v>20078</v>
      </c>
      <c r="K29" s="35"/>
      <c r="L29" s="34" t="s">
        <v>19907</v>
      </c>
      <c r="M29" s="35" t="s">
        <v>9</v>
      </c>
      <c r="N29" s="34" t="s">
        <v>17290</v>
      </c>
      <c r="O29" s="35" t="s">
        <v>164</v>
      </c>
      <c r="P29" s="35" t="s">
        <v>2206</v>
      </c>
    </row>
    <row r="30" spans="1:16" ht="409.6" x14ac:dyDescent="0.25">
      <c r="A30" s="35">
        <v>28</v>
      </c>
      <c r="B30" s="34" t="s">
        <v>20079</v>
      </c>
      <c r="C30" s="35"/>
      <c r="D30" s="34" t="s">
        <v>20080</v>
      </c>
      <c r="E30" s="34" t="s">
        <v>20081</v>
      </c>
      <c r="F30" s="34" t="s">
        <v>20082</v>
      </c>
      <c r="G30" s="34" t="s">
        <v>20083</v>
      </c>
      <c r="H30" s="34" t="s">
        <v>20084</v>
      </c>
      <c r="I30" s="35">
        <v>5</v>
      </c>
      <c r="J30" s="34" t="s">
        <v>20085</v>
      </c>
      <c r="K30" s="35"/>
      <c r="L30" s="34" t="s">
        <v>19907</v>
      </c>
      <c r="M30" s="35" t="s">
        <v>9</v>
      </c>
      <c r="N30" s="34" t="s">
        <v>14522</v>
      </c>
      <c r="O30" s="35" t="s">
        <v>164</v>
      </c>
      <c r="P30" s="35" t="s">
        <v>2206</v>
      </c>
    </row>
    <row r="31" spans="1:16" ht="409.6" x14ac:dyDescent="0.25">
      <c r="A31" s="35">
        <v>29</v>
      </c>
      <c r="B31" s="34" t="s">
        <v>20086</v>
      </c>
      <c r="C31" s="35"/>
      <c r="D31" s="34" t="s">
        <v>14351</v>
      </c>
      <c r="E31" s="34" t="s">
        <v>6866</v>
      </c>
      <c r="F31" s="34" t="s">
        <v>14230</v>
      </c>
      <c r="G31" s="34" t="s">
        <v>20087</v>
      </c>
      <c r="H31" s="34" t="s">
        <v>20088</v>
      </c>
      <c r="I31" s="35">
        <v>5</v>
      </c>
      <c r="J31" s="34" t="s">
        <v>20089</v>
      </c>
      <c r="K31" s="35"/>
      <c r="L31" s="34" t="s">
        <v>19907</v>
      </c>
      <c r="M31" s="35" t="s">
        <v>9</v>
      </c>
      <c r="N31" s="34" t="s">
        <v>14522</v>
      </c>
      <c r="O31" s="35" t="s">
        <v>164</v>
      </c>
      <c r="P31" s="35" t="s">
        <v>2206</v>
      </c>
    </row>
    <row r="32" spans="1:16" ht="409.6" x14ac:dyDescent="0.25">
      <c r="A32" s="35">
        <v>30</v>
      </c>
      <c r="B32" s="34" t="s">
        <v>20090</v>
      </c>
      <c r="C32" s="35"/>
      <c r="D32" s="34" t="s">
        <v>11122</v>
      </c>
      <c r="E32" s="34" t="s">
        <v>11123</v>
      </c>
      <c r="F32" s="34" t="s">
        <v>11124</v>
      </c>
      <c r="G32" s="34" t="s">
        <v>2827</v>
      </c>
      <c r="H32" s="34" t="s">
        <v>20091</v>
      </c>
      <c r="I32" s="35">
        <v>1</v>
      </c>
      <c r="J32" s="34" t="s">
        <v>20092</v>
      </c>
      <c r="K32" s="35"/>
      <c r="L32" s="34" t="s">
        <v>19907</v>
      </c>
      <c r="M32" s="35" t="s">
        <v>9</v>
      </c>
      <c r="N32" s="34" t="s">
        <v>14522</v>
      </c>
      <c r="O32" s="35" t="s">
        <v>164</v>
      </c>
      <c r="P32" s="35" t="s">
        <v>2206</v>
      </c>
    </row>
    <row r="33" spans="1:16" ht="409.6" x14ac:dyDescent="0.25">
      <c r="A33" s="35">
        <v>31</v>
      </c>
      <c r="B33" s="34" t="s">
        <v>20093</v>
      </c>
      <c r="C33" s="35"/>
      <c r="D33" s="34" t="s">
        <v>20094</v>
      </c>
      <c r="E33" s="34" t="s">
        <v>20095</v>
      </c>
      <c r="F33" s="34" t="s">
        <v>20096</v>
      </c>
      <c r="G33" s="34" t="s">
        <v>20097</v>
      </c>
      <c r="H33" s="34" t="s">
        <v>20098</v>
      </c>
      <c r="I33" s="35">
        <v>1</v>
      </c>
      <c r="J33" s="34" t="s">
        <v>20099</v>
      </c>
      <c r="K33" s="35"/>
      <c r="L33" s="34" t="s">
        <v>19907</v>
      </c>
      <c r="M33" s="35" t="s">
        <v>9</v>
      </c>
      <c r="N33" s="34" t="s">
        <v>20100</v>
      </c>
      <c r="O33" s="35" t="s">
        <v>164</v>
      </c>
      <c r="P33" s="35" t="s">
        <v>2271</v>
      </c>
    </row>
    <row r="34" spans="1:16" ht="409.6" x14ac:dyDescent="0.25">
      <c r="A34" s="35">
        <v>32</v>
      </c>
      <c r="B34" s="34" t="s">
        <v>20101</v>
      </c>
      <c r="C34" s="35"/>
      <c r="D34" s="34" t="s">
        <v>9781</v>
      </c>
      <c r="E34" s="34" t="s">
        <v>9809</v>
      </c>
      <c r="F34" s="34" t="s">
        <v>20102</v>
      </c>
      <c r="G34" s="34"/>
      <c r="H34" s="34"/>
      <c r="I34" s="35">
        <v>1</v>
      </c>
      <c r="J34" s="34" t="s">
        <v>20103</v>
      </c>
      <c r="K34" s="35"/>
      <c r="L34" s="34" t="s">
        <v>19907</v>
      </c>
      <c r="M34" s="35" t="s">
        <v>9</v>
      </c>
      <c r="N34" s="34" t="s">
        <v>20104</v>
      </c>
      <c r="O34" s="35" t="s">
        <v>164</v>
      </c>
      <c r="P34" s="35" t="s">
        <v>2436</v>
      </c>
    </row>
    <row r="35" spans="1:16" ht="409.6" x14ac:dyDescent="0.25">
      <c r="A35" s="35">
        <v>33</v>
      </c>
      <c r="B35" s="34" t="s">
        <v>20105</v>
      </c>
      <c r="C35" s="35"/>
      <c r="D35" s="34" t="s">
        <v>20106</v>
      </c>
      <c r="E35" s="34" t="s">
        <v>20107</v>
      </c>
      <c r="F35" s="34" t="s">
        <v>20108</v>
      </c>
      <c r="G35" s="34" t="s">
        <v>20109</v>
      </c>
      <c r="H35" s="34" t="s">
        <v>20110</v>
      </c>
      <c r="I35" s="35">
        <v>1</v>
      </c>
      <c r="J35" s="34" t="s">
        <v>20111</v>
      </c>
      <c r="K35" s="35"/>
      <c r="L35" s="34" t="s">
        <v>19907</v>
      </c>
      <c r="M35" s="35" t="s">
        <v>9</v>
      </c>
      <c r="N35" s="34" t="s">
        <v>20112</v>
      </c>
      <c r="O35" s="35" t="s">
        <v>164</v>
      </c>
      <c r="P35" s="35" t="s">
        <v>2514</v>
      </c>
    </row>
  </sheetData>
  <mergeCells count="1">
    <mergeCell ref="A1:F1"/>
  </mergeCell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P3"/>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26.25" customHeight="1" x14ac:dyDescent="0.25">
      <c r="A1" s="52" t="str">
        <f>HYPERLINK("#gid=0", "🏠 กลับสู่หน้าแรก (Go to Home Page)")</f>
        <v>🏠 กลับสู่หน้าแรก (Go to Home Page)</v>
      </c>
      <c r="B1" s="49"/>
      <c r="C1" s="49"/>
      <c r="D1" s="49"/>
      <c r="E1" s="49"/>
      <c r="F1" s="49"/>
    </row>
    <row r="2" spans="1:16" ht="21.6" customHeight="1" x14ac:dyDescent="0.25">
      <c r="A2" s="14" t="s">
        <v>10</v>
      </c>
      <c r="B2" s="14" t="s">
        <v>11</v>
      </c>
      <c r="C2" s="14" t="s">
        <v>12</v>
      </c>
      <c r="D2" s="14" t="s">
        <v>13</v>
      </c>
      <c r="E2" s="14" t="s">
        <v>14</v>
      </c>
      <c r="F2" s="14" t="s">
        <v>15</v>
      </c>
      <c r="G2" s="14" t="s">
        <v>16</v>
      </c>
      <c r="H2" s="14" t="s">
        <v>17</v>
      </c>
      <c r="I2" s="14" t="s">
        <v>154</v>
      </c>
      <c r="J2" s="14" t="s">
        <v>19</v>
      </c>
      <c r="K2" s="14" t="s">
        <v>20</v>
      </c>
      <c r="L2" s="14" t="s">
        <v>81</v>
      </c>
      <c r="M2" s="14" t="s">
        <v>155</v>
      </c>
      <c r="N2" s="14" t="s">
        <v>23</v>
      </c>
      <c r="O2" s="2" t="s">
        <v>24</v>
      </c>
      <c r="P2" s="2" t="s">
        <v>25</v>
      </c>
    </row>
    <row r="3" spans="1:16" ht="409.6" x14ac:dyDescent="0.25">
      <c r="A3" s="35">
        <v>1</v>
      </c>
      <c r="B3" s="34" t="s">
        <v>20113</v>
      </c>
      <c r="C3" s="35" t="s">
        <v>20114</v>
      </c>
      <c r="D3" s="34" t="s">
        <v>6866</v>
      </c>
      <c r="E3" s="34" t="s">
        <v>20115</v>
      </c>
      <c r="F3" s="34" t="s">
        <v>14402</v>
      </c>
      <c r="G3" s="34" t="s">
        <v>20116</v>
      </c>
      <c r="H3" s="34" t="s">
        <v>20117</v>
      </c>
      <c r="I3" s="35">
        <v>1</v>
      </c>
      <c r="J3" s="34" t="s">
        <v>20118</v>
      </c>
      <c r="K3" s="35"/>
      <c r="L3" s="34" t="s">
        <v>20119</v>
      </c>
      <c r="M3" s="35" t="s">
        <v>9</v>
      </c>
      <c r="N3" s="34" t="s">
        <v>20120</v>
      </c>
      <c r="O3" s="35" t="s">
        <v>164</v>
      </c>
      <c r="P3" s="35" t="s">
        <v>2155</v>
      </c>
    </row>
  </sheetData>
  <mergeCells count="1">
    <mergeCell ref="A1:F1"/>
  </mergeCell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D85926"/>
    <outlinePr summaryBelow="0" summaryRight="0"/>
  </sheetPr>
  <dimension ref="A1:Q83"/>
  <sheetViews>
    <sheetView workbookViewId="0"/>
  </sheetViews>
  <sheetFormatPr defaultColWidth="12.6640625" defaultRowHeight="15.75" customHeight="1" x14ac:dyDescent="0.25"/>
  <cols>
    <col min="2" max="2" width="29.77734375" customWidth="1"/>
  </cols>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64.8" customHeight="1" x14ac:dyDescent="0.25">
      <c r="A2" s="23" t="s">
        <v>10</v>
      </c>
      <c r="B2" s="23" t="s">
        <v>11</v>
      </c>
      <c r="C2" s="23" t="s">
        <v>12</v>
      </c>
      <c r="D2" s="23" t="s">
        <v>13</v>
      </c>
      <c r="E2" s="23" t="s">
        <v>14</v>
      </c>
      <c r="F2" s="23" t="s">
        <v>15</v>
      </c>
      <c r="G2" s="23" t="s">
        <v>16</v>
      </c>
      <c r="H2" s="23" t="s">
        <v>17</v>
      </c>
      <c r="I2" s="23" t="s">
        <v>154</v>
      </c>
      <c r="J2" s="23" t="s">
        <v>19</v>
      </c>
      <c r="K2" s="23" t="s">
        <v>20</v>
      </c>
      <c r="L2" s="23" t="s">
        <v>81</v>
      </c>
      <c r="M2" s="23" t="s">
        <v>155</v>
      </c>
      <c r="N2" s="23" t="s">
        <v>23</v>
      </c>
      <c r="O2" s="23" t="s">
        <v>24</v>
      </c>
      <c r="P2" s="23" t="s">
        <v>25</v>
      </c>
    </row>
    <row r="3" spans="1:16" ht="409.6" customHeight="1" x14ac:dyDescent="0.25">
      <c r="A3" s="10">
        <v>1</v>
      </c>
      <c r="B3" s="10" t="s">
        <v>20121</v>
      </c>
      <c r="C3" s="10"/>
      <c r="D3" s="10" t="s">
        <v>20122</v>
      </c>
      <c r="E3" s="10" t="s">
        <v>20123</v>
      </c>
      <c r="F3" s="10" t="s">
        <v>20124</v>
      </c>
      <c r="G3" s="10" t="s">
        <v>20125</v>
      </c>
      <c r="H3" s="10" t="s">
        <v>20126</v>
      </c>
      <c r="I3" s="10">
        <v>4</v>
      </c>
      <c r="J3" s="10" t="s">
        <v>20127</v>
      </c>
      <c r="K3" s="10"/>
      <c r="L3" s="10" t="s">
        <v>20128</v>
      </c>
      <c r="M3" s="10" t="s">
        <v>9</v>
      </c>
      <c r="N3" s="10" t="s">
        <v>668</v>
      </c>
      <c r="O3" s="10" t="s">
        <v>816</v>
      </c>
      <c r="P3" s="10" t="s">
        <v>669</v>
      </c>
    </row>
    <row r="4" spans="1:16" ht="409.6" customHeight="1" x14ac:dyDescent="0.25">
      <c r="A4" s="10">
        <v>2</v>
      </c>
      <c r="B4" s="10" t="s">
        <v>20129</v>
      </c>
      <c r="C4" s="10"/>
      <c r="D4" s="10" t="s">
        <v>20130</v>
      </c>
      <c r="E4" s="10" t="s">
        <v>20131</v>
      </c>
      <c r="F4" s="10" t="s">
        <v>20132</v>
      </c>
      <c r="G4" s="10" t="s">
        <v>20133</v>
      </c>
      <c r="H4" s="10" t="s">
        <v>20134</v>
      </c>
      <c r="I4" s="10">
        <v>2</v>
      </c>
      <c r="J4" s="10" t="s">
        <v>20135</v>
      </c>
      <c r="K4" s="10"/>
      <c r="L4" s="10" t="s">
        <v>20128</v>
      </c>
      <c r="M4" s="10" t="s">
        <v>9</v>
      </c>
      <c r="N4" s="10" t="s">
        <v>2727</v>
      </c>
      <c r="O4" s="10" t="s">
        <v>816</v>
      </c>
      <c r="P4" s="10" t="s">
        <v>669</v>
      </c>
    </row>
    <row r="5" spans="1:16" ht="409.6" customHeight="1" x14ac:dyDescent="0.25">
      <c r="A5" s="10">
        <v>3</v>
      </c>
      <c r="B5" s="10" t="s">
        <v>20136</v>
      </c>
      <c r="C5" s="10"/>
      <c r="D5" s="10" t="s">
        <v>20137</v>
      </c>
      <c r="E5" s="10" t="s">
        <v>20138</v>
      </c>
      <c r="F5" s="10" t="s">
        <v>20139</v>
      </c>
      <c r="G5" s="10" t="s">
        <v>20140</v>
      </c>
      <c r="H5" s="10" t="s">
        <v>20141</v>
      </c>
      <c r="I5" s="10">
        <v>2</v>
      </c>
      <c r="J5" s="10" t="s">
        <v>20142</v>
      </c>
      <c r="K5" s="10"/>
      <c r="L5" s="10" t="s">
        <v>20128</v>
      </c>
      <c r="M5" s="10" t="s">
        <v>9</v>
      </c>
      <c r="N5" s="10" t="s">
        <v>1697</v>
      </c>
      <c r="O5" s="10" t="s">
        <v>816</v>
      </c>
      <c r="P5" s="10" t="s">
        <v>669</v>
      </c>
    </row>
    <row r="6" spans="1:16" ht="409.6" customHeight="1" x14ac:dyDescent="0.25">
      <c r="A6" s="10">
        <v>4</v>
      </c>
      <c r="B6" s="10" t="s">
        <v>20143</v>
      </c>
      <c r="C6" s="10"/>
      <c r="D6" s="10" t="s">
        <v>20144</v>
      </c>
      <c r="E6" s="10" t="s">
        <v>20145</v>
      </c>
      <c r="F6" s="10" t="s">
        <v>20146</v>
      </c>
      <c r="G6" s="10" t="s">
        <v>20147</v>
      </c>
      <c r="H6" s="10" t="s">
        <v>20148</v>
      </c>
      <c r="I6" s="10">
        <v>2</v>
      </c>
      <c r="J6" s="10" t="s">
        <v>20149</v>
      </c>
      <c r="K6" s="10"/>
      <c r="L6" s="10" t="s">
        <v>20128</v>
      </c>
      <c r="M6" s="10" t="s">
        <v>9</v>
      </c>
      <c r="N6" s="10" t="s">
        <v>9323</v>
      </c>
      <c r="O6" s="10" t="s">
        <v>816</v>
      </c>
      <c r="P6" s="10" t="s">
        <v>669</v>
      </c>
    </row>
    <row r="7" spans="1:16" ht="409.6" customHeight="1" x14ac:dyDescent="0.25">
      <c r="A7" s="10">
        <v>5</v>
      </c>
      <c r="B7" s="10" t="s">
        <v>20150</v>
      </c>
      <c r="C7" s="10"/>
      <c r="D7" s="10" t="s">
        <v>20151</v>
      </c>
      <c r="E7" s="10" t="s">
        <v>20152</v>
      </c>
      <c r="F7" s="10" t="s">
        <v>20153</v>
      </c>
      <c r="G7" s="10" t="s">
        <v>20154</v>
      </c>
      <c r="H7" s="10" t="s">
        <v>20155</v>
      </c>
      <c r="I7" s="10">
        <v>4</v>
      </c>
      <c r="J7" s="10" t="s">
        <v>20156</v>
      </c>
      <c r="K7" s="10"/>
      <c r="L7" s="10" t="s">
        <v>20128</v>
      </c>
      <c r="M7" s="10" t="s">
        <v>9</v>
      </c>
      <c r="N7" s="10" t="s">
        <v>2751</v>
      </c>
      <c r="O7" s="10" t="s">
        <v>816</v>
      </c>
      <c r="P7" s="10" t="s">
        <v>669</v>
      </c>
    </row>
    <row r="8" spans="1:16" ht="409.6" customHeight="1" x14ac:dyDescent="0.25">
      <c r="A8" s="10">
        <v>6</v>
      </c>
      <c r="B8" s="10" t="s">
        <v>20157</v>
      </c>
      <c r="C8" s="10"/>
      <c r="D8" s="10" t="s">
        <v>20158</v>
      </c>
      <c r="E8" s="10" t="s">
        <v>20159</v>
      </c>
      <c r="F8" s="10" t="s">
        <v>20160</v>
      </c>
      <c r="G8" s="10" t="s">
        <v>20161</v>
      </c>
      <c r="H8" s="10" t="s">
        <v>20162</v>
      </c>
      <c r="I8" s="10">
        <v>1</v>
      </c>
      <c r="J8" s="10" t="s">
        <v>20163</v>
      </c>
      <c r="K8" s="10"/>
      <c r="L8" s="10" t="s">
        <v>20128</v>
      </c>
      <c r="M8" s="10" t="s">
        <v>9</v>
      </c>
      <c r="N8" s="10" t="s">
        <v>2759</v>
      </c>
      <c r="O8" s="10" t="s">
        <v>816</v>
      </c>
      <c r="P8" s="10" t="s">
        <v>669</v>
      </c>
    </row>
    <row r="9" spans="1:16" ht="409.6" customHeight="1" x14ac:dyDescent="0.25">
      <c r="A9" s="10">
        <v>11</v>
      </c>
      <c r="B9" s="10" t="s">
        <v>20164</v>
      </c>
      <c r="C9" s="10"/>
      <c r="D9" s="10" t="s">
        <v>20165</v>
      </c>
      <c r="E9" s="10" t="s">
        <v>20166</v>
      </c>
      <c r="F9" s="10" t="s">
        <v>20167</v>
      </c>
      <c r="G9" s="10" t="s">
        <v>20168</v>
      </c>
      <c r="H9" s="10" t="s">
        <v>20169</v>
      </c>
      <c r="I9" s="10">
        <v>3</v>
      </c>
      <c r="J9" s="10" t="s">
        <v>20170</v>
      </c>
      <c r="K9" s="10"/>
      <c r="L9" s="10" t="s">
        <v>20128</v>
      </c>
      <c r="M9" s="10" t="s">
        <v>9</v>
      </c>
      <c r="N9" s="10" t="s">
        <v>735</v>
      </c>
      <c r="O9" s="10" t="s">
        <v>816</v>
      </c>
      <c r="P9" s="10" t="s">
        <v>669</v>
      </c>
    </row>
    <row r="10" spans="1:16" ht="409.6" customHeight="1" x14ac:dyDescent="0.25">
      <c r="A10" s="10">
        <v>12</v>
      </c>
      <c r="B10" s="10" t="s">
        <v>20171</v>
      </c>
      <c r="C10" s="10"/>
      <c r="D10" s="10" t="s">
        <v>3785</v>
      </c>
      <c r="E10" s="10" t="s">
        <v>20172</v>
      </c>
      <c r="F10" s="10" t="s">
        <v>3592</v>
      </c>
      <c r="G10" s="10" t="s">
        <v>20173</v>
      </c>
      <c r="H10" s="10" t="s">
        <v>20174</v>
      </c>
      <c r="I10" s="10">
        <v>1</v>
      </c>
      <c r="J10" s="10" t="s">
        <v>20175</v>
      </c>
      <c r="K10" s="10"/>
      <c r="L10" s="10" t="s">
        <v>20128</v>
      </c>
      <c r="M10" s="10" t="s">
        <v>9</v>
      </c>
      <c r="N10" s="10" t="s">
        <v>1763</v>
      </c>
      <c r="O10" s="10" t="s">
        <v>816</v>
      </c>
      <c r="P10" s="10" t="s">
        <v>669</v>
      </c>
    </row>
    <row r="11" spans="1:16" ht="409.6" customHeight="1" x14ac:dyDescent="0.25">
      <c r="A11" s="10">
        <v>13</v>
      </c>
      <c r="B11" s="10" t="s">
        <v>12456</v>
      </c>
      <c r="C11" s="10"/>
      <c r="D11" s="10" t="s">
        <v>12457</v>
      </c>
      <c r="E11" s="10" t="s">
        <v>12458</v>
      </c>
      <c r="F11" s="10" t="s">
        <v>12459</v>
      </c>
      <c r="G11" s="10" t="s">
        <v>12460</v>
      </c>
      <c r="H11" s="10" t="s">
        <v>12461</v>
      </c>
      <c r="I11" s="10">
        <v>2</v>
      </c>
      <c r="J11" s="10" t="s">
        <v>20176</v>
      </c>
      <c r="K11" s="10"/>
      <c r="L11" s="10" t="s">
        <v>20128</v>
      </c>
      <c r="M11" s="10" t="s">
        <v>9</v>
      </c>
      <c r="N11" s="10" t="s">
        <v>1771</v>
      </c>
      <c r="O11" s="10" t="s">
        <v>816</v>
      </c>
      <c r="P11" s="10" t="s">
        <v>669</v>
      </c>
    </row>
    <row r="12" spans="1:16" ht="409.6" customHeight="1" x14ac:dyDescent="0.25">
      <c r="A12" s="10">
        <v>14</v>
      </c>
      <c r="B12" s="10" t="s">
        <v>20177</v>
      </c>
      <c r="C12" s="10"/>
      <c r="D12" s="10" t="s">
        <v>20178</v>
      </c>
      <c r="E12" s="10" t="s">
        <v>20179</v>
      </c>
      <c r="F12" s="10" t="s">
        <v>20180</v>
      </c>
      <c r="G12" s="10" t="s">
        <v>20181</v>
      </c>
      <c r="H12" s="10" t="s">
        <v>20182</v>
      </c>
      <c r="I12" s="10">
        <v>3</v>
      </c>
      <c r="J12" s="10" t="s">
        <v>20183</v>
      </c>
      <c r="K12" s="10"/>
      <c r="L12" s="10" t="s">
        <v>20128</v>
      </c>
      <c r="M12" s="10" t="s">
        <v>9</v>
      </c>
      <c r="N12" s="10" t="s">
        <v>5321</v>
      </c>
      <c r="O12" s="10" t="s">
        <v>816</v>
      </c>
      <c r="P12" s="10" t="s">
        <v>669</v>
      </c>
    </row>
    <row r="13" spans="1:16" ht="409.6" customHeight="1" x14ac:dyDescent="0.25">
      <c r="A13" s="10">
        <v>15</v>
      </c>
      <c r="B13" s="10" t="s">
        <v>20184</v>
      </c>
      <c r="C13" s="10"/>
      <c r="D13" s="10" t="s">
        <v>20185</v>
      </c>
      <c r="E13" s="10" t="s">
        <v>20186</v>
      </c>
      <c r="F13" s="10" t="s">
        <v>20187</v>
      </c>
      <c r="G13" s="10" t="s">
        <v>20188</v>
      </c>
      <c r="H13" s="10" t="s">
        <v>20189</v>
      </c>
      <c r="I13" s="10">
        <v>1</v>
      </c>
      <c r="J13" s="10" t="s">
        <v>20190</v>
      </c>
      <c r="K13" s="10"/>
      <c r="L13" s="10" t="s">
        <v>20128</v>
      </c>
      <c r="M13" s="10" t="s">
        <v>9</v>
      </c>
      <c r="N13" s="10" t="s">
        <v>20191</v>
      </c>
      <c r="O13" s="10" t="s">
        <v>816</v>
      </c>
      <c r="P13" s="10" t="s">
        <v>669</v>
      </c>
    </row>
    <row r="14" spans="1:16" ht="409.6" customHeight="1" x14ac:dyDescent="0.25">
      <c r="A14" s="10">
        <v>16</v>
      </c>
      <c r="B14" s="10" t="s">
        <v>20192</v>
      </c>
      <c r="C14" s="10"/>
      <c r="D14" s="10" t="s">
        <v>20193</v>
      </c>
      <c r="E14" s="10" t="s">
        <v>20194</v>
      </c>
      <c r="F14" s="10" t="s">
        <v>20195</v>
      </c>
      <c r="G14" s="10" t="s">
        <v>20196</v>
      </c>
      <c r="H14" s="10" t="s">
        <v>20197</v>
      </c>
      <c r="I14" s="10">
        <v>5</v>
      </c>
      <c r="J14" s="10" t="s">
        <v>20198</v>
      </c>
      <c r="K14" s="10"/>
      <c r="L14" s="10" t="s">
        <v>20128</v>
      </c>
      <c r="M14" s="10" t="s">
        <v>9</v>
      </c>
      <c r="N14" s="10" t="s">
        <v>2831</v>
      </c>
      <c r="O14" s="10" t="s">
        <v>816</v>
      </c>
      <c r="P14" s="10" t="s">
        <v>669</v>
      </c>
    </row>
    <row r="15" spans="1:16" ht="409.6" customHeight="1" x14ac:dyDescent="0.25">
      <c r="A15" s="10">
        <v>17</v>
      </c>
      <c r="B15" s="10" t="s">
        <v>20199</v>
      </c>
      <c r="C15" s="10"/>
      <c r="D15" s="10" t="s">
        <v>20200</v>
      </c>
      <c r="E15" s="10" t="s">
        <v>20201</v>
      </c>
      <c r="F15" s="10" t="s">
        <v>20202</v>
      </c>
      <c r="G15" s="10" t="s">
        <v>20203</v>
      </c>
      <c r="H15" s="10" t="s">
        <v>20204</v>
      </c>
      <c r="I15" s="10">
        <v>4</v>
      </c>
      <c r="J15" s="10" t="s">
        <v>20205</v>
      </c>
      <c r="K15" s="10"/>
      <c r="L15" s="10" t="s">
        <v>20128</v>
      </c>
      <c r="M15" s="10" t="s">
        <v>9</v>
      </c>
      <c r="N15" s="10" t="s">
        <v>7120</v>
      </c>
      <c r="O15" s="10" t="s">
        <v>816</v>
      </c>
      <c r="P15" s="10" t="s">
        <v>669</v>
      </c>
    </row>
    <row r="16" spans="1:16" ht="409.6" customHeight="1" x14ac:dyDescent="0.25">
      <c r="A16" s="10">
        <v>18</v>
      </c>
      <c r="B16" s="10" t="s">
        <v>20206</v>
      </c>
      <c r="C16" s="10"/>
      <c r="D16" s="10" t="s">
        <v>20138</v>
      </c>
      <c r="E16" s="10" t="s">
        <v>20139</v>
      </c>
      <c r="F16" s="10" t="s">
        <v>20140</v>
      </c>
      <c r="G16" s="10" t="s">
        <v>20141</v>
      </c>
      <c r="H16" s="10" t="s">
        <v>20207</v>
      </c>
      <c r="I16" s="10">
        <v>1</v>
      </c>
      <c r="J16" s="10" t="s">
        <v>20208</v>
      </c>
      <c r="K16" s="10"/>
      <c r="L16" s="10" t="s">
        <v>20128</v>
      </c>
      <c r="M16" s="10" t="s">
        <v>9</v>
      </c>
      <c r="N16" s="10" t="s">
        <v>1808</v>
      </c>
      <c r="O16" s="10" t="s">
        <v>816</v>
      </c>
      <c r="P16" s="10" t="s">
        <v>669</v>
      </c>
    </row>
    <row r="17" spans="1:16" ht="409.6" customHeight="1" x14ac:dyDescent="0.25">
      <c r="A17" s="10">
        <v>19</v>
      </c>
      <c r="B17" s="10" t="s">
        <v>20209</v>
      </c>
      <c r="C17" s="10"/>
      <c r="D17" s="10" t="s">
        <v>20210</v>
      </c>
      <c r="E17" s="10" t="s">
        <v>20211</v>
      </c>
      <c r="F17" s="10" t="s">
        <v>20212</v>
      </c>
      <c r="G17" s="10" t="s">
        <v>20213</v>
      </c>
      <c r="H17" s="10" t="s">
        <v>4577</v>
      </c>
      <c r="I17" s="10">
        <v>4</v>
      </c>
      <c r="J17" s="10" t="s">
        <v>20214</v>
      </c>
      <c r="K17" s="10"/>
      <c r="L17" s="10" t="s">
        <v>20128</v>
      </c>
      <c r="M17" s="10" t="s">
        <v>9</v>
      </c>
      <c r="N17" s="10" t="s">
        <v>13071</v>
      </c>
      <c r="O17" s="10" t="s">
        <v>816</v>
      </c>
      <c r="P17" s="10" t="s">
        <v>669</v>
      </c>
    </row>
    <row r="18" spans="1:16" ht="409.6" customHeight="1" x14ac:dyDescent="0.25">
      <c r="A18" s="10">
        <v>20</v>
      </c>
      <c r="B18" s="10" t="s">
        <v>20215</v>
      </c>
      <c r="C18" s="10"/>
      <c r="D18" s="10" t="s">
        <v>20216</v>
      </c>
      <c r="E18" s="10" t="s">
        <v>20217</v>
      </c>
      <c r="F18" s="10" t="s">
        <v>20218</v>
      </c>
      <c r="G18" s="10" t="s">
        <v>20219</v>
      </c>
      <c r="H18" s="10" t="s">
        <v>781</v>
      </c>
      <c r="I18" s="10">
        <v>2</v>
      </c>
      <c r="J18" s="10" t="s">
        <v>20220</v>
      </c>
      <c r="K18" s="10"/>
      <c r="L18" s="10" t="s">
        <v>20128</v>
      </c>
      <c r="M18" s="10" t="s">
        <v>9</v>
      </c>
      <c r="N18" s="10" t="s">
        <v>5359</v>
      </c>
      <c r="O18" s="10" t="s">
        <v>816</v>
      </c>
      <c r="P18" s="10" t="s">
        <v>669</v>
      </c>
    </row>
    <row r="19" spans="1:16" ht="409.6" customHeight="1" x14ac:dyDescent="0.25">
      <c r="A19" s="10">
        <v>21</v>
      </c>
      <c r="B19" s="10" t="s">
        <v>20221</v>
      </c>
      <c r="C19" s="10"/>
      <c r="D19" s="10" t="s">
        <v>20139</v>
      </c>
      <c r="E19" s="10" t="s">
        <v>20140</v>
      </c>
      <c r="F19" s="10" t="s">
        <v>20141</v>
      </c>
      <c r="G19" s="10" t="s">
        <v>20207</v>
      </c>
      <c r="H19" s="10" t="s">
        <v>20222</v>
      </c>
      <c r="I19" s="10">
        <v>5</v>
      </c>
      <c r="J19" s="10" t="s">
        <v>20223</v>
      </c>
      <c r="K19" s="10"/>
      <c r="L19" s="10" t="s">
        <v>20128</v>
      </c>
      <c r="M19" s="10" t="s">
        <v>9</v>
      </c>
      <c r="N19" s="10" t="s">
        <v>9422</v>
      </c>
      <c r="O19" s="10" t="s">
        <v>816</v>
      </c>
      <c r="P19" s="10" t="s">
        <v>669</v>
      </c>
    </row>
    <row r="20" spans="1:16" ht="409.6" customHeight="1" x14ac:dyDescent="0.25">
      <c r="A20" s="10">
        <v>22</v>
      </c>
      <c r="B20" s="10" t="s">
        <v>20224</v>
      </c>
      <c r="C20" s="10"/>
      <c r="D20" s="10" t="s">
        <v>8114</v>
      </c>
      <c r="E20" s="10" t="s">
        <v>20225</v>
      </c>
      <c r="F20" s="10" t="s">
        <v>8110</v>
      </c>
      <c r="G20" s="10" t="s">
        <v>8112</v>
      </c>
      <c r="H20" s="10" t="s">
        <v>8113</v>
      </c>
      <c r="I20" s="10">
        <v>4</v>
      </c>
      <c r="J20" s="10" t="s">
        <v>20226</v>
      </c>
      <c r="K20" s="10"/>
      <c r="L20" s="10" t="s">
        <v>20128</v>
      </c>
      <c r="M20" s="10" t="s">
        <v>9</v>
      </c>
      <c r="N20" s="10" t="s">
        <v>8501</v>
      </c>
      <c r="O20" s="10" t="s">
        <v>816</v>
      </c>
      <c r="P20" s="10" t="s">
        <v>669</v>
      </c>
    </row>
    <row r="21" spans="1:16" ht="409.6" customHeight="1" x14ac:dyDescent="0.25">
      <c r="A21" s="10">
        <v>23</v>
      </c>
      <c r="B21" s="10" t="s">
        <v>20227</v>
      </c>
      <c r="C21" s="10"/>
      <c r="D21" s="10" t="s">
        <v>8319</v>
      </c>
      <c r="E21" s="10" t="s">
        <v>2965</v>
      </c>
      <c r="F21" s="10" t="s">
        <v>8530</v>
      </c>
      <c r="G21" s="10" t="s">
        <v>3584</v>
      </c>
      <c r="H21" s="10" t="s">
        <v>2966</v>
      </c>
      <c r="I21" s="10">
        <v>4</v>
      </c>
      <c r="J21" s="10" t="s">
        <v>20228</v>
      </c>
      <c r="K21" s="10"/>
      <c r="L21" s="10" t="s">
        <v>20128</v>
      </c>
      <c r="M21" s="10" t="s">
        <v>9</v>
      </c>
      <c r="N21" s="10" t="s">
        <v>10206</v>
      </c>
      <c r="O21" s="10" t="s">
        <v>816</v>
      </c>
      <c r="P21" s="10" t="s">
        <v>669</v>
      </c>
    </row>
    <row r="22" spans="1:16" ht="409.6" customHeight="1" x14ac:dyDescent="0.25">
      <c r="A22" s="10">
        <v>24</v>
      </c>
      <c r="B22" s="10" t="s">
        <v>20229</v>
      </c>
      <c r="C22" s="10"/>
      <c r="D22" s="10" t="s">
        <v>2966</v>
      </c>
      <c r="E22" s="10" t="s">
        <v>12025</v>
      </c>
      <c r="F22" s="10" t="s">
        <v>20230</v>
      </c>
      <c r="G22" s="10" t="s">
        <v>6522</v>
      </c>
      <c r="H22" s="10" t="s">
        <v>8348</v>
      </c>
      <c r="I22" s="10">
        <v>1</v>
      </c>
      <c r="J22" s="10" t="s">
        <v>20231</v>
      </c>
      <c r="K22" s="10"/>
      <c r="L22" s="10" t="s">
        <v>20128</v>
      </c>
      <c r="M22" s="10" t="s">
        <v>9</v>
      </c>
      <c r="N22" s="10" t="s">
        <v>815</v>
      </c>
      <c r="O22" s="10" t="s">
        <v>816</v>
      </c>
      <c r="P22" s="10" t="s">
        <v>669</v>
      </c>
    </row>
    <row r="23" spans="1:16" ht="409.6" customHeight="1" x14ac:dyDescent="0.25">
      <c r="A23" s="10">
        <v>25</v>
      </c>
      <c r="B23" s="10" t="s">
        <v>20232</v>
      </c>
      <c r="C23" s="10"/>
      <c r="D23" s="10" t="s">
        <v>20222</v>
      </c>
      <c r="E23" s="10" t="s">
        <v>20233</v>
      </c>
      <c r="F23" s="10" t="s">
        <v>20137</v>
      </c>
      <c r="G23" s="10" t="s">
        <v>20138</v>
      </c>
      <c r="H23" s="10" t="s">
        <v>20139</v>
      </c>
      <c r="I23" s="10">
        <v>3</v>
      </c>
      <c r="J23" s="10" t="s">
        <v>20234</v>
      </c>
      <c r="K23" s="10"/>
      <c r="L23" s="10" t="s">
        <v>20128</v>
      </c>
      <c r="M23" s="10" t="s">
        <v>9</v>
      </c>
      <c r="N23" s="10" t="s">
        <v>11610</v>
      </c>
      <c r="O23" s="10" t="s">
        <v>816</v>
      </c>
      <c r="P23" s="10" t="s">
        <v>669</v>
      </c>
    </row>
    <row r="24" spans="1:16" ht="409.6" customHeight="1" x14ac:dyDescent="0.25">
      <c r="A24" s="10">
        <v>26</v>
      </c>
      <c r="B24" s="10" t="s">
        <v>20235</v>
      </c>
      <c r="C24" s="10"/>
      <c r="D24" s="10" t="s">
        <v>20236</v>
      </c>
      <c r="E24" s="10" t="s">
        <v>20237</v>
      </c>
      <c r="F24" s="10" t="s">
        <v>20238</v>
      </c>
      <c r="G24" s="10" t="s">
        <v>20239</v>
      </c>
      <c r="H24" s="10" t="s">
        <v>20240</v>
      </c>
      <c r="I24" s="10">
        <v>5</v>
      </c>
      <c r="J24" s="10" t="s">
        <v>20241</v>
      </c>
      <c r="K24" s="10"/>
      <c r="L24" s="10" t="s">
        <v>20128</v>
      </c>
      <c r="M24" s="10" t="s">
        <v>9</v>
      </c>
      <c r="N24" s="10" t="s">
        <v>12586</v>
      </c>
      <c r="O24" s="10" t="s">
        <v>816</v>
      </c>
      <c r="P24" s="10" t="s">
        <v>669</v>
      </c>
    </row>
    <row r="25" spans="1:16" ht="409.6" customHeight="1" x14ac:dyDescent="0.25">
      <c r="A25" s="10">
        <v>27</v>
      </c>
      <c r="B25" s="10" t="s">
        <v>20242</v>
      </c>
      <c r="C25" s="10"/>
      <c r="D25" s="10" t="s">
        <v>2722</v>
      </c>
      <c r="E25" s="10" t="s">
        <v>6523</v>
      </c>
      <c r="F25" s="10" t="s">
        <v>8620</v>
      </c>
      <c r="G25" s="10" t="s">
        <v>3389</v>
      </c>
      <c r="H25" s="10" t="s">
        <v>5675</v>
      </c>
      <c r="I25" s="10">
        <v>1</v>
      </c>
      <c r="J25" s="10" t="s">
        <v>20243</v>
      </c>
      <c r="K25" s="10"/>
      <c r="L25" s="10" t="s">
        <v>20128</v>
      </c>
      <c r="M25" s="10" t="s">
        <v>9</v>
      </c>
      <c r="N25" s="10" t="s">
        <v>2916</v>
      </c>
      <c r="O25" s="10" t="s">
        <v>816</v>
      </c>
      <c r="P25" s="10" t="s">
        <v>669</v>
      </c>
    </row>
    <row r="26" spans="1:16" ht="409.6" customHeight="1" x14ac:dyDescent="0.25">
      <c r="A26" s="10">
        <v>28</v>
      </c>
      <c r="B26" s="10" t="s">
        <v>20244</v>
      </c>
      <c r="C26" s="10"/>
      <c r="D26" s="10" t="s">
        <v>20245</v>
      </c>
      <c r="E26" s="10" t="s">
        <v>20246</v>
      </c>
      <c r="F26" s="10" t="s">
        <v>20247</v>
      </c>
      <c r="G26" s="10" t="s">
        <v>20248</v>
      </c>
      <c r="H26" s="10" t="s">
        <v>20249</v>
      </c>
      <c r="I26" s="10">
        <v>4</v>
      </c>
      <c r="J26" s="10" t="s">
        <v>20250</v>
      </c>
      <c r="K26" s="10"/>
      <c r="L26" s="10" t="s">
        <v>20128</v>
      </c>
      <c r="M26" s="10" t="s">
        <v>9</v>
      </c>
      <c r="N26" s="10" t="s">
        <v>2924</v>
      </c>
      <c r="O26" s="10" t="s">
        <v>816</v>
      </c>
      <c r="P26" s="10" t="s">
        <v>669</v>
      </c>
    </row>
    <row r="27" spans="1:16" ht="409.6" customHeight="1" x14ac:dyDescent="0.25">
      <c r="A27" s="10">
        <v>29</v>
      </c>
      <c r="B27" s="10" t="s">
        <v>20251</v>
      </c>
      <c r="C27" s="10"/>
      <c r="D27" s="10" t="s">
        <v>20252</v>
      </c>
      <c r="E27" s="10" t="s">
        <v>20253</v>
      </c>
      <c r="F27" s="10" t="s">
        <v>20254</v>
      </c>
      <c r="G27" s="10" t="s">
        <v>20255</v>
      </c>
      <c r="H27" s="10" t="s">
        <v>20256</v>
      </c>
      <c r="I27" s="10">
        <v>4</v>
      </c>
      <c r="J27" s="10" t="s">
        <v>20257</v>
      </c>
      <c r="K27" s="10"/>
      <c r="L27" s="10" t="s">
        <v>20128</v>
      </c>
      <c r="M27" s="10" t="s">
        <v>9</v>
      </c>
      <c r="N27" s="10" t="s">
        <v>6625</v>
      </c>
      <c r="O27" s="10" t="s">
        <v>816</v>
      </c>
      <c r="P27" s="10" t="s">
        <v>669</v>
      </c>
    </row>
    <row r="28" spans="1:16" ht="409.6" customHeight="1" x14ac:dyDescent="0.25">
      <c r="A28" s="10">
        <v>30</v>
      </c>
      <c r="B28" s="10" t="s">
        <v>20258</v>
      </c>
      <c r="C28" s="10"/>
      <c r="D28" s="10" t="s">
        <v>20259</v>
      </c>
      <c r="E28" s="10" t="s">
        <v>20260</v>
      </c>
      <c r="F28" s="10" t="s">
        <v>9974</v>
      </c>
      <c r="G28" s="10" t="s">
        <v>2194</v>
      </c>
      <c r="H28" s="10" t="s">
        <v>20261</v>
      </c>
      <c r="I28" s="10">
        <v>5</v>
      </c>
      <c r="J28" s="10" t="s">
        <v>20262</v>
      </c>
      <c r="K28" s="10"/>
      <c r="L28" s="10" t="s">
        <v>20128</v>
      </c>
      <c r="M28" s="10" t="s">
        <v>9</v>
      </c>
      <c r="N28" s="10" t="s">
        <v>857</v>
      </c>
      <c r="O28" s="10" t="s">
        <v>816</v>
      </c>
      <c r="P28" s="10" t="s">
        <v>669</v>
      </c>
    </row>
    <row r="29" spans="1:16" ht="409.6" customHeight="1" x14ac:dyDescent="0.25">
      <c r="A29" s="10">
        <v>31</v>
      </c>
      <c r="B29" s="10" t="s">
        <v>20263</v>
      </c>
      <c r="C29" s="10"/>
      <c r="D29" s="10" t="s">
        <v>20264</v>
      </c>
      <c r="E29" s="10" t="s">
        <v>20265</v>
      </c>
      <c r="F29" s="10" t="s">
        <v>20266</v>
      </c>
      <c r="G29" s="10" t="s">
        <v>20267</v>
      </c>
      <c r="H29" s="10" t="s">
        <v>20268</v>
      </c>
      <c r="I29" s="10">
        <v>5</v>
      </c>
      <c r="J29" s="10" t="s">
        <v>20269</v>
      </c>
      <c r="K29" s="10"/>
      <c r="L29" s="10" t="s">
        <v>20128</v>
      </c>
      <c r="M29" s="10" t="s">
        <v>9</v>
      </c>
      <c r="N29" s="10" t="s">
        <v>865</v>
      </c>
      <c r="O29" s="10" t="s">
        <v>816</v>
      </c>
      <c r="P29" s="10" t="s">
        <v>669</v>
      </c>
    </row>
    <row r="30" spans="1:16" ht="409.6" customHeight="1" x14ac:dyDescent="0.25">
      <c r="A30" s="10">
        <v>32</v>
      </c>
      <c r="B30" s="10" t="s">
        <v>20270</v>
      </c>
      <c r="C30" s="10"/>
      <c r="D30" s="10" t="s">
        <v>20271</v>
      </c>
      <c r="E30" s="10" t="s">
        <v>20272</v>
      </c>
      <c r="F30" s="10" t="s">
        <v>20273</v>
      </c>
      <c r="G30" s="10" t="s">
        <v>20274</v>
      </c>
      <c r="H30" s="10" t="s">
        <v>20275</v>
      </c>
      <c r="I30" s="10">
        <v>3</v>
      </c>
      <c r="J30" s="10" t="s">
        <v>20276</v>
      </c>
      <c r="K30" s="10"/>
      <c r="L30" s="10" t="s">
        <v>20128</v>
      </c>
      <c r="M30" s="10" t="s">
        <v>9</v>
      </c>
      <c r="N30" s="10" t="s">
        <v>872</v>
      </c>
      <c r="O30" s="10" t="s">
        <v>816</v>
      </c>
      <c r="P30" s="10" t="s">
        <v>669</v>
      </c>
    </row>
    <row r="31" spans="1:16" ht="409.6" customHeight="1" x14ac:dyDescent="0.25">
      <c r="A31" s="10">
        <v>33</v>
      </c>
      <c r="B31" s="10" t="s">
        <v>20277</v>
      </c>
      <c r="C31" s="10"/>
      <c r="D31" s="10" t="s">
        <v>20278</v>
      </c>
      <c r="E31" s="10" t="s">
        <v>4244</v>
      </c>
      <c r="F31" s="10" t="s">
        <v>20279</v>
      </c>
      <c r="G31" s="10" t="s">
        <v>4311</v>
      </c>
      <c r="H31" s="10" t="s">
        <v>20280</v>
      </c>
      <c r="I31" s="10">
        <v>4</v>
      </c>
      <c r="J31" s="10" t="s">
        <v>20281</v>
      </c>
      <c r="K31" s="10"/>
      <c r="L31" s="10" t="s">
        <v>20128</v>
      </c>
      <c r="M31" s="10" t="s">
        <v>9</v>
      </c>
      <c r="N31" s="10" t="s">
        <v>2962</v>
      </c>
      <c r="O31" s="10" t="s">
        <v>816</v>
      </c>
      <c r="P31" s="10" t="s">
        <v>669</v>
      </c>
    </row>
    <row r="32" spans="1:16" ht="409.6" customHeight="1" x14ac:dyDescent="0.25">
      <c r="A32" s="10">
        <v>34</v>
      </c>
      <c r="B32" s="10" t="s">
        <v>20282</v>
      </c>
      <c r="C32" s="10"/>
      <c r="D32" s="10" t="s">
        <v>20283</v>
      </c>
      <c r="E32" s="10" t="s">
        <v>20284</v>
      </c>
      <c r="F32" s="10" t="s">
        <v>20285</v>
      </c>
      <c r="G32" s="10" t="s">
        <v>20286</v>
      </c>
      <c r="H32" s="10" t="s">
        <v>20287</v>
      </c>
      <c r="I32" s="10">
        <v>5</v>
      </c>
      <c r="J32" s="10" t="s">
        <v>20288</v>
      </c>
      <c r="K32" s="10"/>
      <c r="L32" s="10" t="s">
        <v>20128</v>
      </c>
      <c r="M32" s="10" t="s">
        <v>9</v>
      </c>
      <c r="N32" s="10" t="s">
        <v>8579</v>
      </c>
      <c r="O32" s="10" t="s">
        <v>816</v>
      </c>
      <c r="P32" s="10" t="s">
        <v>669</v>
      </c>
    </row>
    <row r="33" spans="1:17" ht="409.6" customHeight="1" x14ac:dyDescent="0.25">
      <c r="A33" s="10">
        <v>35</v>
      </c>
      <c r="B33" s="10" t="s">
        <v>20289</v>
      </c>
      <c r="C33" s="10"/>
      <c r="D33" s="10" t="s">
        <v>20290</v>
      </c>
      <c r="E33" s="10" t="s">
        <v>20291</v>
      </c>
      <c r="F33" s="10" t="s">
        <v>20292</v>
      </c>
      <c r="G33" s="10" t="s">
        <v>20293</v>
      </c>
      <c r="H33" s="10" t="s">
        <v>20294</v>
      </c>
      <c r="I33" s="10">
        <v>4</v>
      </c>
      <c r="J33" s="10" t="s">
        <v>20295</v>
      </c>
      <c r="K33" s="10"/>
      <c r="L33" s="10" t="s">
        <v>20128</v>
      </c>
      <c r="M33" s="10" t="s">
        <v>9</v>
      </c>
      <c r="N33" s="10" t="s">
        <v>7231</v>
      </c>
      <c r="O33" s="10" t="s">
        <v>816</v>
      </c>
      <c r="P33" s="10" t="s">
        <v>669</v>
      </c>
    </row>
    <row r="34" spans="1:17" ht="13.2" customHeight="1" x14ac:dyDescent="0.25">
      <c r="A34" s="8" t="s">
        <v>10267</v>
      </c>
      <c r="B34" s="2" t="s">
        <v>20296</v>
      </c>
      <c r="C34" s="2"/>
      <c r="D34" s="2" t="s">
        <v>20297</v>
      </c>
      <c r="E34" s="2" t="s">
        <v>20298</v>
      </c>
      <c r="F34" s="2" t="s">
        <v>20299</v>
      </c>
      <c r="G34" s="2" t="s">
        <v>20300</v>
      </c>
      <c r="H34" s="2" t="s">
        <v>20301</v>
      </c>
      <c r="I34" s="8" t="s">
        <v>84</v>
      </c>
      <c r="J34" s="2" t="s">
        <v>20302</v>
      </c>
      <c r="K34" s="2"/>
      <c r="L34" s="2" t="s">
        <v>20128</v>
      </c>
      <c r="M34" s="2" t="s">
        <v>20303</v>
      </c>
      <c r="N34" s="2" t="s">
        <v>20304</v>
      </c>
      <c r="O34" s="2" t="s">
        <v>816</v>
      </c>
      <c r="P34" s="2" t="s">
        <v>1849</v>
      </c>
      <c r="Q34" s="2"/>
    </row>
    <row r="35" spans="1:17" ht="13.2" customHeight="1" x14ac:dyDescent="0.25">
      <c r="A35" s="8" t="s">
        <v>10920</v>
      </c>
      <c r="B35" s="2" t="s">
        <v>20305</v>
      </c>
      <c r="C35" s="2"/>
      <c r="D35" s="2" t="s">
        <v>20306</v>
      </c>
      <c r="E35" s="2" t="s">
        <v>20307</v>
      </c>
      <c r="F35" s="2" t="s">
        <v>20308</v>
      </c>
      <c r="G35" s="2" t="s">
        <v>20309</v>
      </c>
      <c r="H35" s="2" t="s">
        <v>20310</v>
      </c>
      <c r="I35" s="8" t="s">
        <v>84</v>
      </c>
      <c r="J35" s="2" t="s">
        <v>20311</v>
      </c>
      <c r="K35" s="2"/>
      <c r="L35" s="2" t="s">
        <v>20128</v>
      </c>
      <c r="M35" s="2" t="s">
        <v>20303</v>
      </c>
      <c r="N35" s="2" t="s">
        <v>20312</v>
      </c>
      <c r="O35" s="2" t="s">
        <v>816</v>
      </c>
      <c r="P35" s="2" t="s">
        <v>1849</v>
      </c>
      <c r="Q35" s="2"/>
    </row>
    <row r="36" spans="1:17" ht="13.2" customHeight="1" x14ac:dyDescent="0.25">
      <c r="A36" s="8" t="s">
        <v>10275</v>
      </c>
      <c r="B36" s="2" t="s">
        <v>20313</v>
      </c>
      <c r="C36" s="2"/>
      <c r="D36" s="2" t="s">
        <v>20314</v>
      </c>
      <c r="E36" s="2" t="s">
        <v>20315</v>
      </c>
      <c r="F36" s="2" t="s">
        <v>20316</v>
      </c>
      <c r="G36" s="2" t="s">
        <v>20317</v>
      </c>
      <c r="H36" s="2" t="s">
        <v>20318</v>
      </c>
      <c r="I36" s="8" t="s">
        <v>84</v>
      </c>
      <c r="J36" s="2" t="s">
        <v>20319</v>
      </c>
      <c r="K36" s="2"/>
      <c r="L36" s="2" t="s">
        <v>20128</v>
      </c>
      <c r="M36" s="2" t="s">
        <v>20303</v>
      </c>
      <c r="N36" s="2" t="s">
        <v>20320</v>
      </c>
      <c r="O36" s="2" t="s">
        <v>816</v>
      </c>
      <c r="P36" s="2" t="s">
        <v>1849</v>
      </c>
      <c r="Q36" s="2"/>
    </row>
    <row r="37" spans="1:17" ht="13.2" customHeight="1" x14ac:dyDescent="0.25">
      <c r="A37" s="8" t="s">
        <v>10285</v>
      </c>
      <c r="B37" s="2" t="s">
        <v>20321</v>
      </c>
      <c r="C37" s="2"/>
      <c r="D37" s="8" t="s">
        <v>20322</v>
      </c>
      <c r="E37" s="8" t="s">
        <v>20323</v>
      </c>
      <c r="F37" s="8" t="s">
        <v>20324</v>
      </c>
      <c r="G37" s="8" t="s">
        <v>20325</v>
      </c>
      <c r="H37" s="8" t="s">
        <v>10130</v>
      </c>
      <c r="I37" s="8" t="s">
        <v>84</v>
      </c>
      <c r="J37" s="2" t="s">
        <v>20326</v>
      </c>
      <c r="K37" s="2"/>
      <c r="L37" s="2" t="s">
        <v>20128</v>
      </c>
      <c r="M37" s="2" t="s">
        <v>20303</v>
      </c>
      <c r="N37" s="2" t="s">
        <v>20327</v>
      </c>
      <c r="O37" s="2" t="s">
        <v>164</v>
      </c>
      <c r="P37" s="2" t="s">
        <v>1865</v>
      </c>
      <c r="Q37" s="2"/>
    </row>
    <row r="38" spans="1:17" ht="13.2" customHeight="1" x14ac:dyDescent="0.25">
      <c r="A38" s="8" t="s">
        <v>10294</v>
      </c>
      <c r="B38" s="2" t="s">
        <v>20328</v>
      </c>
      <c r="C38" s="2"/>
      <c r="D38" s="2" t="s">
        <v>20329</v>
      </c>
      <c r="E38" s="2" t="s">
        <v>20330</v>
      </c>
      <c r="F38" s="2" t="s">
        <v>20331</v>
      </c>
      <c r="G38" s="2" t="s">
        <v>17067</v>
      </c>
      <c r="H38" s="2" t="s">
        <v>16444</v>
      </c>
      <c r="I38" s="8" t="s">
        <v>84</v>
      </c>
      <c r="J38" s="2" t="s">
        <v>20332</v>
      </c>
      <c r="K38" s="2"/>
      <c r="L38" s="2" t="s">
        <v>20128</v>
      </c>
      <c r="M38" s="2" t="s">
        <v>20303</v>
      </c>
      <c r="N38" s="2" t="s">
        <v>20333</v>
      </c>
      <c r="O38" s="2" t="s">
        <v>164</v>
      </c>
      <c r="P38" s="2" t="s">
        <v>1865</v>
      </c>
      <c r="Q38" s="2"/>
    </row>
    <row r="39" spans="1:17" ht="13.2" customHeight="1" x14ac:dyDescent="0.25">
      <c r="A39" s="8" t="s">
        <v>10302</v>
      </c>
      <c r="B39" s="2" t="s">
        <v>20334</v>
      </c>
      <c r="C39" s="2"/>
      <c r="D39" s="2" t="s">
        <v>20303</v>
      </c>
      <c r="E39" s="2" t="s">
        <v>20233</v>
      </c>
      <c r="F39" s="2" t="s">
        <v>20137</v>
      </c>
      <c r="G39" s="2" t="s">
        <v>20138</v>
      </c>
      <c r="H39" s="2" t="s">
        <v>20139</v>
      </c>
      <c r="I39" s="8" t="s">
        <v>84</v>
      </c>
      <c r="J39" s="2" t="s">
        <v>20335</v>
      </c>
      <c r="K39" s="2"/>
      <c r="L39" s="2" t="s">
        <v>20128</v>
      </c>
      <c r="M39" s="2" t="s">
        <v>20303</v>
      </c>
      <c r="N39" s="2" t="s">
        <v>9745</v>
      </c>
      <c r="O39" s="2" t="s">
        <v>164</v>
      </c>
      <c r="P39" s="2" t="s">
        <v>2017</v>
      </c>
    </row>
    <row r="40" spans="1:17" ht="13.2" customHeight="1" x14ac:dyDescent="0.25">
      <c r="A40" s="8" t="s">
        <v>10309</v>
      </c>
      <c r="B40" s="2" t="s">
        <v>20336</v>
      </c>
      <c r="C40" s="2"/>
      <c r="D40" s="2" t="s">
        <v>20303</v>
      </c>
      <c r="E40" s="2" t="s">
        <v>20139</v>
      </c>
      <c r="F40" s="2" t="s">
        <v>20140</v>
      </c>
      <c r="G40" s="2" t="s">
        <v>20141</v>
      </c>
      <c r="H40" s="2" t="s">
        <v>20207</v>
      </c>
      <c r="I40" s="8" t="s">
        <v>84</v>
      </c>
      <c r="J40" s="2" t="s">
        <v>20337</v>
      </c>
      <c r="K40" s="2"/>
      <c r="L40" s="2" t="s">
        <v>20128</v>
      </c>
      <c r="M40" s="2" t="s">
        <v>20303</v>
      </c>
      <c r="N40" s="2" t="s">
        <v>2066</v>
      </c>
      <c r="O40" s="2" t="s">
        <v>164</v>
      </c>
      <c r="P40" s="2" t="s">
        <v>2017</v>
      </c>
    </row>
    <row r="41" spans="1:17" ht="13.2" customHeight="1" x14ac:dyDescent="0.25">
      <c r="A41" s="8" t="s">
        <v>10316</v>
      </c>
      <c r="B41" s="2" t="s">
        <v>20338</v>
      </c>
      <c r="C41" s="2"/>
      <c r="D41" s="2" t="s">
        <v>20303</v>
      </c>
      <c r="E41" s="2" t="s">
        <v>20207</v>
      </c>
      <c r="F41" s="2" t="s">
        <v>20222</v>
      </c>
      <c r="G41" s="2" t="s">
        <v>20233</v>
      </c>
      <c r="H41" s="2" t="s">
        <v>20137</v>
      </c>
      <c r="I41" s="8" t="s">
        <v>84</v>
      </c>
      <c r="J41" s="2" t="s">
        <v>20339</v>
      </c>
      <c r="K41" s="2"/>
      <c r="L41" s="2" t="s">
        <v>20128</v>
      </c>
      <c r="M41" s="2" t="s">
        <v>20303</v>
      </c>
      <c r="N41" s="2" t="s">
        <v>20340</v>
      </c>
      <c r="O41" s="2" t="s">
        <v>164</v>
      </c>
      <c r="P41" s="2" t="s">
        <v>2017</v>
      </c>
    </row>
    <row r="42" spans="1:17" ht="13.2" customHeight="1" x14ac:dyDescent="0.25">
      <c r="A42" s="8" t="s">
        <v>10323</v>
      </c>
      <c r="B42" s="2" t="s">
        <v>20341</v>
      </c>
      <c r="C42" s="2"/>
      <c r="D42" s="2" t="s">
        <v>20342</v>
      </c>
      <c r="E42" s="2" t="s">
        <v>20343</v>
      </c>
      <c r="F42" s="2" t="s">
        <v>20344</v>
      </c>
      <c r="G42" s="2" t="s">
        <v>20345</v>
      </c>
      <c r="H42" s="2" t="s">
        <v>20346</v>
      </c>
      <c r="I42" s="8" t="s">
        <v>84</v>
      </c>
      <c r="J42" s="2" t="s">
        <v>20347</v>
      </c>
      <c r="K42" s="2"/>
      <c r="L42" s="2" t="s">
        <v>20128</v>
      </c>
      <c r="M42" s="2" t="s">
        <v>20303</v>
      </c>
      <c r="N42" s="2" t="s">
        <v>20348</v>
      </c>
      <c r="O42" s="2" t="s">
        <v>164</v>
      </c>
      <c r="P42" s="2" t="s">
        <v>2109</v>
      </c>
      <c r="Q42" s="2"/>
    </row>
    <row r="43" spans="1:17" ht="13.2" customHeight="1" x14ac:dyDescent="0.25">
      <c r="A43" s="8" t="s">
        <v>10327</v>
      </c>
      <c r="B43" s="2" t="s">
        <v>20349</v>
      </c>
      <c r="C43" s="2"/>
      <c r="D43" s="2" t="s">
        <v>20140</v>
      </c>
      <c r="E43" s="2" t="s">
        <v>8750</v>
      </c>
      <c r="F43" s="2" t="s">
        <v>8750</v>
      </c>
      <c r="G43" s="2" t="s">
        <v>8750</v>
      </c>
      <c r="H43" s="2" t="s">
        <v>11824</v>
      </c>
      <c r="I43" s="8" t="s">
        <v>84</v>
      </c>
      <c r="J43" s="2" t="s">
        <v>20350</v>
      </c>
      <c r="K43" s="2"/>
      <c r="L43" s="2" t="s">
        <v>20128</v>
      </c>
      <c r="M43" s="2" t="s">
        <v>20303</v>
      </c>
      <c r="N43" s="2" t="s">
        <v>20351</v>
      </c>
      <c r="O43" s="2" t="s">
        <v>164</v>
      </c>
      <c r="P43" s="2" t="s">
        <v>2109</v>
      </c>
      <c r="Q43" s="2"/>
    </row>
    <row r="44" spans="1:17" ht="13.2" customHeight="1" x14ac:dyDescent="0.25">
      <c r="A44" s="8" t="s">
        <v>10333</v>
      </c>
      <c r="B44" s="2" t="s">
        <v>20352</v>
      </c>
      <c r="C44" s="2"/>
      <c r="D44" s="2" t="s">
        <v>20353</v>
      </c>
      <c r="E44" s="2" t="s">
        <v>20354</v>
      </c>
      <c r="F44" s="2" t="s">
        <v>20355</v>
      </c>
      <c r="G44" s="2" t="s">
        <v>20356</v>
      </c>
      <c r="H44" s="2" t="s">
        <v>424</v>
      </c>
      <c r="I44" s="8" t="s">
        <v>84</v>
      </c>
      <c r="J44" s="2" t="s">
        <v>20357</v>
      </c>
      <c r="K44" s="2"/>
      <c r="L44" s="2" t="s">
        <v>20128</v>
      </c>
      <c r="M44" s="2" t="s">
        <v>20303</v>
      </c>
      <c r="N44" s="2" t="s">
        <v>20358</v>
      </c>
      <c r="O44" s="2" t="s">
        <v>164</v>
      </c>
      <c r="P44" s="2" t="s">
        <v>2109</v>
      </c>
      <c r="Q44" s="2"/>
    </row>
    <row r="45" spans="1:17" ht="13.2" customHeight="1" x14ac:dyDescent="0.25">
      <c r="A45" s="8" t="s">
        <v>10340</v>
      </c>
      <c r="B45" s="2" t="s">
        <v>20359</v>
      </c>
      <c r="C45" s="2"/>
      <c r="D45" s="2" t="s">
        <v>20360</v>
      </c>
      <c r="E45" s="2" t="s">
        <v>20361</v>
      </c>
      <c r="F45" s="2" t="s">
        <v>20362</v>
      </c>
      <c r="G45" s="2" t="s">
        <v>20363</v>
      </c>
      <c r="H45" s="2" t="s">
        <v>20364</v>
      </c>
      <c r="I45" s="8">
        <v>3</v>
      </c>
      <c r="J45" s="2" t="s">
        <v>20365</v>
      </c>
      <c r="K45" s="2"/>
      <c r="L45" s="2" t="s">
        <v>20128</v>
      </c>
      <c r="M45" s="2" t="s">
        <v>20303</v>
      </c>
      <c r="N45" s="2" t="s">
        <v>20366</v>
      </c>
      <c r="O45" s="2" t="s">
        <v>164</v>
      </c>
      <c r="P45" s="2" t="s">
        <v>2109</v>
      </c>
    </row>
    <row r="46" spans="1:17" ht="13.2" customHeight="1" x14ac:dyDescent="0.25">
      <c r="A46" s="8" t="s">
        <v>10354</v>
      </c>
      <c r="B46" s="2" t="s">
        <v>20367</v>
      </c>
      <c r="C46" s="2"/>
      <c r="D46" s="2" t="s">
        <v>20303</v>
      </c>
      <c r="E46" s="2" t="s">
        <v>20141</v>
      </c>
      <c r="F46" s="2" t="s">
        <v>20207</v>
      </c>
      <c r="G46" s="2" t="s">
        <v>20222</v>
      </c>
      <c r="H46" s="2" t="s">
        <v>20233</v>
      </c>
      <c r="I46" s="8" t="s">
        <v>90</v>
      </c>
      <c r="J46" s="2" t="s">
        <v>20368</v>
      </c>
      <c r="K46" s="2"/>
      <c r="L46" s="2" t="s">
        <v>20128</v>
      </c>
      <c r="M46" s="2" t="s">
        <v>20303</v>
      </c>
      <c r="N46" s="2" t="s">
        <v>20369</v>
      </c>
      <c r="O46" s="2" t="s">
        <v>164</v>
      </c>
      <c r="P46" s="2" t="s">
        <v>2155</v>
      </c>
    </row>
    <row r="47" spans="1:17" ht="13.2" customHeight="1" x14ac:dyDescent="0.25">
      <c r="A47" s="8" t="s">
        <v>10363</v>
      </c>
      <c r="B47" s="2" t="s">
        <v>20370</v>
      </c>
      <c r="C47" s="2"/>
      <c r="D47" s="2" t="s">
        <v>20303</v>
      </c>
      <c r="E47" s="2" t="s">
        <v>20233</v>
      </c>
      <c r="F47" s="2" t="s">
        <v>20137</v>
      </c>
      <c r="G47" s="2" t="s">
        <v>20138</v>
      </c>
      <c r="H47" s="2" t="s">
        <v>20139</v>
      </c>
      <c r="I47" s="8" t="s">
        <v>84</v>
      </c>
      <c r="J47" s="2" t="s">
        <v>20371</v>
      </c>
      <c r="K47" s="2"/>
      <c r="L47" s="2" t="s">
        <v>20128</v>
      </c>
      <c r="M47" s="2" t="s">
        <v>20303</v>
      </c>
      <c r="N47" s="2" t="s">
        <v>20372</v>
      </c>
      <c r="O47" s="2" t="s">
        <v>164</v>
      </c>
      <c r="P47" s="2" t="s">
        <v>2155</v>
      </c>
    </row>
    <row r="48" spans="1:17" ht="13.2" customHeight="1" x14ac:dyDescent="0.25">
      <c r="A48" s="2">
        <v>46</v>
      </c>
      <c r="B48" s="2" t="s">
        <v>20373</v>
      </c>
      <c r="C48" s="2"/>
      <c r="D48" s="2" t="s">
        <v>5512</v>
      </c>
      <c r="E48" s="2" t="s">
        <v>5514</v>
      </c>
      <c r="F48" s="2" t="s">
        <v>5518</v>
      </c>
      <c r="G48" s="2" t="s">
        <v>5513</v>
      </c>
      <c r="H48" s="2" t="s">
        <v>20374</v>
      </c>
      <c r="I48" s="2">
        <v>1</v>
      </c>
      <c r="J48" s="2" t="s">
        <v>20375</v>
      </c>
      <c r="K48" s="2"/>
      <c r="L48" s="2" t="s">
        <v>20128</v>
      </c>
      <c r="M48" s="2" t="s">
        <v>9</v>
      </c>
      <c r="N48" s="2" t="s">
        <v>20376</v>
      </c>
      <c r="O48" s="2" t="s">
        <v>164</v>
      </c>
      <c r="P48" s="2" t="s">
        <v>2271</v>
      </c>
    </row>
    <row r="49" spans="1:16" ht="13.2" customHeight="1" x14ac:dyDescent="0.25">
      <c r="A49" s="2">
        <v>47</v>
      </c>
      <c r="B49" s="2" t="s">
        <v>20377</v>
      </c>
      <c r="C49" s="2"/>
      <c r="D49" s="2" t="s">
        <v>20378</v>
      </c>
      <c r="E49" s="2" t="s">
        <v>20379</v>
      </c>
      <c r="F49" s="2" t="s">
        <v>20380</v>
      </c>
      <c r="G49" s="2" t="s">
        <v>20381</v>
      </c>
      <c r="H49" s="2" t="s">
        <v>781</v>
      </c>
      <c r="I49" s="2">
        <v>1</v>
      </c>
      <c r="J49" s="2" t="s">
        <v>20382</v>
      </c>
      <c r="K49" s="2"/>
      <c r="L49" s="2" t="s">
        <v>20128</v>
      </c>
      <c r="M49" s="2" t="s">
        <v>9</v>
      </c>
      <c r="N49" s="2" t="s">
        <v>20383</v>
      </c>
      <c r="O49" s="2" t="s">
        <v>816</v>
      </c>
      <c r="P49" s="2" t="s">
        <v>2629</v>
      </c>
    </row>
    <row r="50" spans="1:16" ht="13.2" customHeight="1" x14ac:dyDescent="0.25">
      <c r="A50" s="2">
        <v>48</v>
      </c>
      <c r="B50" s="2" t="s">
        <v>20384</v>
      </c>
      <c r="C50" s="2"/>
      <c r="D50" s="2" t="s">
        <v>20233</v>
      </c>
      <c r="E50" s="2" t="s">
        <v>20137</v>
      </c>
      <c r="F50" s="2" t="s">
        <v>20138</v>
      </c>
      <c r="G50" s="2" t="s">
        <v>20139</v>
      </c>
      <c r="H50" s="2" t="s">
        <v>20140</v>
      </c>
      <c r="I50" s="2">
        <v>1</v>
      </c>
      <c r="J50" s="2" t="s">
        <v>20385</v>
      </c>
      <c r="K50" s="2"/>
      <c r="L50" s="2" t="s">
        <v>20128</v>
      </c>
      <c r="M50" s="2" t="s">
        <v>9</v>
      </c>
      <c r="N50" s="2" t="s">
        <v>20386</v>
      </c>
      <c r="O50" s="2" t="s">
        <v>164</v>
      </c>
      <c r="P50" s="2" t="s">
        <v>3561</v>
      </c>
    </row>
    <row r="51" spans="1:16" ht="13.2" customHeight="1" x14ac:dyDescent="0.25">
      <c r="A51" s="2">
        <v>49</v>
      </c>
      <c r="B51" s="2" t="s">
        <v>20387</v>
      </c>
      <c r="C51" s="2"/>
      <c r="D51" s="2" t="s">
        <v>20139</v>
      </c>
      <c r="E51" s="2" t="s">
        <v>20140</v>
      </c>
      <c r="F51" s="2" t="s">
        <v>20141</v>
      </c>
      <c r="G51" s="2" t="s">
        <v>20207</v>
      </c>
      <c r="H51" s="2" t="s">
        <v>20222</v>
      </c>
      <c r="I51" s="2">
        <v>1</v>
      </c>
      <c r="J51" s="2" t="s">
        <v>20388</v>
      </c>
      <c r="K51" s="2"/>
      <c r="L51" s="2" t="s">
        <v>20128</v>
      </c>
      <c r="M51" s="2" t="s">
        <v>9</v>
      </c>
      <c r="N51" s="2" t="s">
        <v>4986</v>
      </c>
      <c r="O51" s="2" t="s">
        <v>164</v>
      </c>
      <c r="P51" s="2" t="s">
        <v>2705</v>
      </c>
    </row>
    <row r="52" spans="1:16" ht="13.2" customHeight="1" x14ac:dyDescent="0.25">
      <c r="A52" s="2">
        <v>50</v>
      </c>
      <c r="B52" s="2" t="s">
        <v>20389</v>
      </c>
      <c r="C52" s="2"/>
      <c r="D52" s="2" t="s">
        <v>20207</v>
      </c>
      <c r="E52" s="2" t="s">
        <v>20222</v>
      </c>
      <c r="F52" s="2" t="s">
        <v>20233</v>
      </c>
      <c r="G52" s="2" t="s">
        <v>20137</v>
      </c>
      <c r="H52" s="2" t="s">
        <v>20138</v>
      </c>
      <c r="I52" s="2">
        <v>1</v>
      </c>
      <c r="J52" s="2" t="s">
        <v>20390</v>
      </c>
      <c r="K52" s="2"/>
      <c r="L52" s="2" t="s">
        <v>20128</v>
      </c>
      <c r="M52" s="2" t="s">
        <v>9</v>
      </c>
      <c r="N52" s="2" t="s">
        <v>12928</v>
      </c>
      <c r="O52" s="2" t="s">
        <v>164</v>
      </c>
      <c r="P52" s="2" t="s">
        <v>2705</v>
      </c>
    </row>
    <row r="53" spans="1:16" ht="13.2" customHeight="1" x14ac:dyDescent="0.25">
      <c r="A53" s="2">
        <v>51</v>
      </c>
      <c r="B53" s="2" t="s">
        <v>20391</v>
      </c>
      <c r="C53" s="2"/>
      <c r="D53" s="2" t="s">
        <v>20137</v>
      </c>
      <c r="E53" s="2" t="s">
        <v>20138</v>
      </c>
      <c r="F53" s="2" t="s">
        <v>20139</v>
      </c>
      <c r="G53" s="2" t="s">
        <v>20140</v>
      </c>
      <c r="H53" s="2" t="s">
        <v>20141</v>
      </c>
      <c r="I53" s="2">
        <v>1</v>
      </c>
      <c r="J53" s="2" t="s">
        <v>20392</v>
      </c>
      <c r="K53" s="2"/>
      <c r="L53" s="2" t="s">
        <v>20128</v>
      </c>
      <c r="M53" s="2" t="s">
        <v>9</v>
      </c>
      <c r="N53" s="2" t="s">
        <v>3595</v>
      </c>
      <c r="O53" s="2" t="s">
        <v>164</v>
      </c>
      <c r="P53" s="2" t="s">
        <v>2706</v>
      </c>
    </row>
    <row r="54" spans="1:16" ht="13.2" customHeight="1" x14ac:dyDescent="0.25">
      <c r="A54" s="2">
        <v>52</v>
      </c>
      <c r="B54" s="2" t="s">
        <v>20393</v>
      </c>
      <c r="C54" s="2"/>
      <c r="D54" s="2" t="s">
        <v>20140</v>
      </c>
      <c r="E54" s="2" t="s">
        <v>20141</v>
      </c>
      <c r="F54" s="2" t="s">
        <v>20207</v>
      </c>
      <c r="G54" s="2" t="s">
        <v>20222</v>
      </c>
      <c r="H54" s="2" t="s">
        <v>20233</v>
      </c>
      <c r="I54" s="2">
        <v>5</v>
      </c>
      <c r="J54" s="2" t="s">
        <v>20394</v>
      </c>
      <c r="K54" s="2"/>
      <c r="L54" s="2" t="s">
        <v>20128</v>
      </c>
      <c r="M54" s="2" t="s">
        <v>9</v>
      </c>
      <c r="N54" s="2" t="s">
        <v>6881</v>
      </c>
      <c r="O54" s="2" t="s">
        <v>164</v>
      </c>
      <c r="P54" s="2" t="s">
        <v>2707</v>
      </c>
    </row>
    <row r="55" spans="1:16" ht="13.2" customHeight="1" x14ac:dyDescent="0.25">
      <c r="A55" s="2">
        <v>53</v>
      </c>
      <c r="B55" s="2" t="s">
        <v>20395</v>
      </c>
      <c r="C55" s="2"/>
      <c r="D55" s="2" t="s">
        <v>20222</v>
      </c>
      <c r="E55" s="2" t="s">
        <v>20233</v>
      </c>
      <c r="F55" s="2" t="s">
        <v>20137</v>
      </c>
      <c r="G55" s="2" t="s">
        <v>20138</v>
      </c>
      <c r="H55" s="2" t="s">
        <v>20139</v>
      </c>
      <c r="I55" s="2">
        <v>1</v>
      </c>
      <c r="J55" s="2" t="s">
        <v>20396</v>
      </c>
      <c r="K55" s="2"/>
      <c r="L55" s="2" t="s">
        <v>20128</v>
      </c>
      <c r="M55" s="2" t="s">
        <v>9</v>
      </c>
      <c r="N55" s="2" t="s">
        <v>2540</v>
      </c>
      <c r="O55" s="2" t="s">
        <v>816</v>
      </c>
      <c r="P55" s="2" t="s">
        <v>2710</v>
      </c>
    </row>
    <row r="56" spans="1:16" ht="13.2" customHeight="1" x14ac:dyDescent="0.25">
      <c r="A56" s="2">
        <v>54</v>
      </c>
      <c r="B56" s="2" t="s">
        <v>20397</v>
      </c>
      <c r="C56" s="2"/>
      <c r="D56" s="2" t="s">
        <v>20138</v>
      </c>
      <c r="E56" s="2" t="s">
        <v>20139</v>
      </c>
      <c r="F56" s="2" t="s">
        <v>20140</v>
      </c>
      <c r="G56" s="2" t="s">
        <v>20141</v>
      </c>
      <c r="H56" s="2" t="s">
        <v>20207</v>
      </c>
      <c r="I56" s="2">
        <v>2</v>
      </c>
      <c r="J56" s="2" t="s">
        <v>20398</v>
      </c>
      <c r="K56" s="2"/>
      <c r="L56" s="2" t="s">
        <v>20128</v>
      </c>
      <c r="M56" s="2" t="s">
        <v>9</v>
      </c>
      <c r="N56" s="2" t="s">
        <v>7496</v>
      </c>
      <c r="O56" s="2" t="s">
        <v>816</v>
      </c>
      <c r="P56" s="2" t="s">
        <v>2710</v>
      </c>
    </row>
    <row r="57" spans="1:16" ht="13.2" customHeight="1" x14ac:dyDescent="0.25">
      <c r="A57" s="2">
        <v>55</v>
      </c>
      <c r="B57" s="2" t="s">
        <v>20399</v>
      </c>
      <c r="C57" s="2"/>
      <c r="D57" s="2" t="s">
        <v>20141</v>
      </c>
      <c r="E57" s="2" t="s">
        <v>20207</v>
      </c>
      <c r="F57" s="2" t="s">
        <v>20222</v>
      </c>
      <c r="G57" s="2" t="s">
        <v>20233</v>
      </c>
      <c r="H57" s="2" t="s">
        <v>20137</v>
      </c>
      <c r="I57" s="2">
        <v>2</v>
      </c>
      <c r="J57" s="2" t="s">
        <v>20400</v>
      </c>
      <c r="K57" s="2"/>
      <c r="L57" s="2" t="s">
        <v>20128</v>
      </c>
      <c r="M57" s="2" t="s">
        <v>9</v>
      </c>
      <c r="N57" s="2" t="s">
        <v>9135</v>
      </c>
      <c r="O57" s="2" t="s">
        <v>816</v>
      </c>
      <c r="P57" s="2" t="s">
        <v>2710</v>
      </c>
    </row>
    <row r="58" spans="1:16" ht="13.2" customHeight="1" x14ac:dyDescent="0.25">
      <c r="A58" s="2">
        <v>56</v>
      </c>
      <c r="B58" s="2" t="s">
        <v>20401</v>
      </c>
      <c r="C58" s="2"/>
      <c r="D58" s="2" t="s">
        <v>20233</v>
      </c>
      <c r="E58" s="2" t="s">
        <v>20137</v>
      </c>
      <c r="F58" s="2" t="s">
        <v>20138</v>
      </c>
      <c r="G58" s="2" t="s">
        <v>20139</v>
      </c>
      <c r="H58" s="2" t="s">
        <v>20140</v>
      </c>
      <c r="I58" s="2">
        <v>1</v>
      </c>
      <c r="J58" s="2" t="s">
        <v>20402</v>
      </c>
      <c r="K58" s="2"/>
      <c r="L58" s="2" t="s">
        <v>20128</v>
      </c>
      <c r="M58" s="2" t="s">
        <v>9</v>
      </c>
      <c r="N58" s="2" t="s">
        <v>1669</v>
      </c>
      <c r="O58" s="2" t="s">
        <v>816</v>
      </c>
      <c r="P58" s="2" t="s">
        <v>2711</v>
      </c>
    </row>
    <row r="59" spans="1:16" ht="13.2" customHeight="1" x14ac:dyDescent="0.25">
      <c r="A59" s="2">
        <v>57</v>
      </c>
      <c r="B59" s="2" t="s">
        <v>20403</v>
      </c>
      <c r="C59" s="2"/>
      <c r="D59" s="2" t="s">
        <v>20139</v>
      </c>
      <c r="E59" s="2" t="s">
        <v>20140</v>
      </c>
      <c r="F59" s="2" t="s">
        <v>20141</v>
      </c>
      <c r="G59" s="2" t="s">
        <v>20207</v>
      </c>
      <c r="H59" s="2" t="s">
        <v>20222</v>
      </c>
      <c r="I59" s="2">
        <v>1</v>
      </c>
      <c r="J59" s="2" t="s">
        <v>20388</v>
      </c>
      <c r="K59" s="2"/>
      <c r="L59" s="2" t="s">
        <v>20128</v>
      </c>
      <c r="M59" s="2" t="s">
        <v>9</v>
      </c>
      <c r="N59" s="2" t="s">
        <v>1669</v>
      </c>
      <c r="O59" s="2" t="s">
        <v>816</v>
      </c>
      <c r="P59" s="2" t="s">
        <v>2711</v>
      </c>
    </row>
    <row r="60" spans="1:16" ht="13.2" customHeight="1" x14ac:dyDescent="0.25">
      <c r="A60" s="2">
        <v>58</v>
      </c>
      <c r="B60" s="2" t="s">
        <v>20404</v>
      </c>
      <c r="C60" s="2"/>
      <c r="D60" s="2" t="s">
        <v>20207</v>
      </c>
      <c r="E60" s="2" t="s">
        <v>20222</v>
      </c>
      <c r="F60" s="2" t="s">
        <v>20233</v>
      </c>
      <c r="G60" s="2" t="s">
        <v>20137</v>
      </c>
      <c r="H60" s="2" t="s">
        <v>20138</v>
      </c>
      <c r="I60" s="2">
        <v>1</v>
      </c>
      <c r="J60" s="2" t="s">
        <v>20390</v>
      </c>
      <c r="K60" s="2"/>
      <c r="L60" s="2" t="s">
        <v>20128</v>
      </c>
      <c r="M60" s="2" t="s">
        <v>9</v>
      </c>
      <c r="N60" s="2" t="s">
        <v>1669</v>
      </c>
      <c r="O60" s="2" t="s">
        <v>816</v>
      </c>
      <c r="P60" s="2" t="s">
        <v>2711</v>
      </c>
    </row>
    <row r="61" spans="1:16" ht="13.2" customHeight="1" x14ac:dyDescent="0.25">
      <c r="A61" s="2">
        <v>59</v>
      </c>
      <c r="B61" s="2" t="s">
        <v>20405</v>
      </c>
      <c r="C61" s="2"/>
      <c r="D61" s="2" t="s">
        <v>20137</v>
      </c>
      <c r="E61" s="2" t="s">
        <v>20138</v>
      </c>
      <c r="F61" s="2" t="s">
        <v>20139</v>
      </c>
      <c r="G61" s="2" t="s">
        <v>20140</v>
      </c>
      <c r="H61" s="2" t="s">
        <v>20141</v>
      </c>
      <c r="I61" s="2">
        <v>3</v>
      </c>
      <c r="J61" s="2" t="s">
        <v>20406</v>
      </c>
      <c r="K61" s="2"/>
      <c r="L61" s="2" t="s">
        <v>20128</v>
      </c>
      <c r="M61" s="2" t="s">
        <v>9</v>
      </c>
      <c r="N61" s="2" t="s">
        <v>1669</v>
      </c>
      <c r="O61" s="2" t="s">
        <v>816</v>
      </c>
      <c r="P61" s="2" t="s">
        <v>2711</v>
      </c>
    </row>
    <row r="62" spans="1:16" ht="13.2" customHeight="1" x14ac:dyDescent="0.25">
      <c r="A62" s="2">
        <v>60</v>
      </c>
      <c r="B62" s="2" t="s">
        <v>20407</v>
      </c>
      <c r="C62" s="2"/>
      <c r="D62" s="2" t="s">
        <v>20140</v>
      </c>
      <c r="E62" s="2" t="s">
        <v>20141</v>
      </c>
      <c r="F62" s="2" t="s">
        <v>20207</v>
      </c>
      <c r="G62" s="2" t="s">
        <v>20222</v>
      </c>
      <c r="H62" s="2" t="s">
        <v>20233</v>
      </c>
      <c r="I62" s="2">
        <v>1</v>
      </c>
      <c r="J62" s="2" t="s">
        <v>20408</v>
      </c>
      <c r="K62" s="2"/>
      <c r="L62" s="2" t="s">
        <v>20128</v>
      </c>
      <c r="M62" s="2" t="s">
        <v>9</v>
      </c>
      <c r="N62" s="2" t="s">
        <v>2655</v>
      </c>
      <c r="O62" s="2" t="s">
        <v>816</v>
      </c>
      <c r="P62" s="2" t="s">
        <v>2711</v>
      </c>
    </row>
    <row r="63" spans="1:16" ht="13.2" customHeight="1" x14ac:dyDescent="0.25">
      <c r="A63" s="2">
        <v>61</v>
      </c>
      <c r="B63" s="2" t="s">
        <v>20409</v>
      </c>
      <c r="C63" s="2"/>
      <c r="D63" s="2" t="s">
        <v>20222</v>
      </c>
      <c r="E63" s="2" t="s">
        <v>20233</v>
      </c>
      <c r="F63" s="2" t="s">
        <v>20137</v>
      </c>
      <c r="G63" s="2" t="s">
        <v>20138</v>
      </c>
      <c r="H63" s="2" t="s">
        <v>20139</v>
      </c>
      <c r="I63" s="2">
        <v>1</v>
      </c>
      <c r="J63" s="2" t="s">
        <v>20396</v>
      </c>
      <c r="K63" s="2"/>
      <c r="L63" s="2" t="s">
        <v>20128</v>
      </c>
      <c r="M63" s="2" t="s">
        <v>9</v>
      </c>
      <c r="N63" s="2" t="s">
        <v>9215</v>
      </c>
      <c r="O63" s="2" t="s">
        <v>816</v>
      </c>
      <c r="P63" s="2" t="s">
        <v>2711</v>
      </c>
    </row>
    <row r="64" spans="1:16" ht="13.2" customHeight="1" x14ac:dyDescent="0.25">
      <c r="A64" s="2">
        <v>62</v>
      </c>
      <c r="B64" s="2" t="s">
        <v>20410</v>
      </c>
      <c r="C64" s="2"/>
      <c r="D64" s="2" t="s">
        <v>20138</v>
      </c>
      <c r="E64" s="2" t="s">
        <v>20139</v>
      </c>
      <c r="F64" s="2" t="s">
        <v>20140</v>
      </c>
      <c r="G64" s="2" t="s">
        <v>20141</v>
      </c>
      <c r="H64" s="2" t="s">
        <v>20207</v>
      </c>
      <c r="I64" s="2">
        <v>1</v>
      </c>
      <c r="J64" s="2" t="s">
        <v>20411</v>
      </c>
      <c r="K64" s="2"/>
      <c r="L64" s="2" t="s">
        <v>20128</v>
      </c>
      <c r="M64" s="2" t="s">
        <v>9</v>
      </c>
      <c r="N64" s="2" t="s">
        <v>3887</v>
      </c>
      <c r="O64" s="2" t="s">
        <v>816</v>
      </c>
      <c r="P64" s="2" t="s">
        <v>2711</v>
      </c>
    </row>
    <row r="65" spans="1:16" ht="13.2" customHeight="1" x14ac:dyDescent="0.25">
      <c r="A65" s="2">
        <v>63</v>
      </c>
      <c r="B65" s="2" t="s">
        <v>20412</v>
      </c>
      <c r="C65" s="2"/>
      <c r="D65" s="2" t="s">
        <v>20141</v>
      </c>
      <c r="E65" s="2" t="s">
        <v>20207</v>
      </c>
      <c r="F65" s="2" t="s">
        <v>20222</v>
      </c>
      <c r="G65" s="2" t="s">
        <v>20233</v>
      </c>
      <c r="H65" s="2" t="s">
        <v>20137</v>
      </c>
      <c r="I65" s="2">
        <v>1</v>
      </c>
      <c r="J65" s="2" t="s">
        <v>20413</v>
      </c>
      <c r="K65" s="2"/>
      <c r="L65" s="2" t="s">
        <v>20128</v>
      </c>
      <c r="M65" s="2" t="s">
        <v>9</v>
      </c>
      <c r="N65" s="2" t="s">
        <v>20414</v>
      </c>
      <c r="O65" s="2" t="s">
        <v>816</v>
      </c>
      <c r="P65" s="2" t="s">
        <v>2711</v>
      </c>
    </row>
    <row r="66" spans="1:16" ht="13.2" customHeight="1" x14ac:dyDescent="0.25">
      <c r="A66" s="2">
        <v>64</v>
      </c>
      <c r="B66" s="2" t="s">
        <v>20415</v>
      </c>
      <c r="C66" s="2"/>
      <c r="D66" s="2" t="s">
        <v>20233</v>
      </c>
      <c r="E66" s="2" t="s">
        <v>20137</v>
      </c>
      <c r="F66" s="2" t="s">
        <v>20138</v>
      </c>
      <c r="G66" s="2" t="s">
        <v>20139</v>
      </c>
      <c r="H66" s="2" t="s">
        <v>20140</v>
      </c>
      <c r="I66" s="2">
        <v>1</v>
      </c>
      <c r="J66" s="2" t="s">
        <v>20402</v>
      </c>
      <c r="K66" s="2"/>
      <c r="L66" s="2" t="s">
        <v>20128</v>
      </c>
      <c r="M66" s="2" t="s">
        <v>9</v>
      </c>
      <c r="N66" s="2" t="s">
        <v>3887</v>
      </c>
      <c r="O66" s="2" t="s">
        <v>816</v>
      </c>
      <c r="P66" s="2" t="s">
        <v>2711</v>
      </c>
    </row>
    <row r="67" spans="1:16" ht="13.2" customHeight="1" x14ac:dyDescent="0.25">
      <c r="A67" s="2">
        <v>65</v>
      </c>
      <c r="B67" s="2" t="s">
        <v>20416</v>
      </c>
      <c r="C67" s="2"/>
      <c r="D67" s="2" t="s">
        <v>20139</v>
      </c>
      <c r="E67" s="2" t="s">
        <v>20140</v>
      </c>
      <c r="F67" s="2" t="s">
        <v>20141</v>
      </c>
      <c r="G67" s="2" t="s">
        <v>20207</v>
      </c>
      <c r="H67" s="2" t="s">
        <v>20222</v>
      </c>
      <c r="I67" s="2">
        <v>1</v>
      </c>
      <c r="J67" s="2" t="s">
        <v>20388</v>
      </c>
      <c r="K67" s="2"/>
      <c r="L67" s="2" t="s">
        <v>20128</v>
      </c>
      <c r="M67" s="2" t="s">
        <v>9</v>
      </c>
      <c r="N67" s="2" t="s">
        <v>3900</v>
      </c>
      <c r="O67" s="2" t="s">
        <v>816</v>
      </c>
      <c r="P67" s="2" t="s">
        <v>2711</v>
      </c>
    </row>
    <row r="68" spans="1:16" ht="13.2" customHeight="1" x14ac:dyDescent="0.25">
      <c r="A68" s="2">
        <v>66</v>
      </c>
      <c r="B68" s="2" t="s">
        <v>20417</v>
      </c>
      <c r="C68" s="2"/>
      <c r="D68" s="2" t="s">
        <v>20207</v>
      </c>
      <c r="E68" s="2" t="s">
        <v>20222</v>
      </c>
      <c r="F68" s="2" t="s">
        <v>20233</v>
      </c>
      <c r="G68" s="2" t="s">
        <v>20137</v>
      </c>
      <c r="H68" s="2" t="s">
        <v>20138</v>
      </c>
      <c r="I68" s="2">
        <v>1</v>
      </c>
      <c r="J68" s="2" t="s">
        <v>20390</v>
      </c>
      <c r="K68" s="2"/>
      <c r="L68" s="2" t="s">
        <v>20128</v>
      </c>
      <c r="M68" s="2" t="s">
        <v>9</v>
      </c>
      <c r="N68" s="2" t="s">
        <v>7564</v>
      </c>
      <c r="O68" s="2" t="s">
        <v>816</v>
      </c>
      <c r="P68" s="2" t="s">
        <v>2711</v>
      </c>
    </row>
    <row r="69" spans="1:16" ht="409.6" x14ac:dyDescent="0.25">
      <c r="A69" s="35">
        <v>67</v>
      </c>
      <c r="B69" s="34" t="s">
        <v>20418</v>
      </c>
      <c r="C69" s="35" t="s">
        <v>20419</v>
      </c>
      <c r="D69" s="34" t="s">
        <v>20420</v>
      </c>
      <c r="E69" s="34" t="s">
        <v>20421</v>
      </c>
      <c r="F69" s="34" t="s">
        <v>20422</v>
      </c>
      <c r="G69" s="34" t="s">
        <v>20423</v>
      </c>
      <c r="H69" s="34" t="s">
        <v>20424</v>
      </c>
      <c r="I69" s="35">
        <v>1</v>
      </c>
      <c r="J69" s="34" t="s">
        <v>20425</v>
      </c>
      <c r="K69" s="35"/>
      <c r="L69" s="34" t="s">
        <v>20426</v>
      </c>
      <c r="M69" s="35" t="s">
        <v>9</v>
      </c>
      <c r="N69" s="34" t="s">
        <v>20427</v>
      </c>
      <c r="O69" s="35" t="s">
        <v>164</v>
      </c>
      <c r="P69" s="35" t="s">
        <v>1865</v>
      </c>
    </row>
    <row r="70" spans="1:16" ht="409.6" x14ac:dyDescent="0.25">
      <c r="A70" s="35">
        <v>68</v>
      </c>
      <c r="B70" s="34" t="s">
        <v>20428</v>
      </c>
      <c r="C70" s="35"/>
      <c r="D70" s="34" t="s">
        <v>20429</v>
      </c>
      <c r="E70" s="34" t="s">
        <v>20430</v>
      </c>
      <c r="F70" s="34"/>
      <c r="G70" s="34"/>
      <c r="H70" s="34"/>
      <c r="I70" s="35">
        <v>4</v>
      </c>
      <c r="J70" s="34" t="s">
        <v>20431</v>
      </c>
      <c r="K70" s="35"/>
      <c r="L70" s="34" t="s">
        <v>20426</v>
      </c>
      <c r="M70" s="35" t="s">
        <v>9</v>
      </c>
      <c r="N70" s="34" t="s">
        <v>20432</v>
      </c>
      <c r="O70" s="35" t="s">
        <v>164</v>
      </c>
      <c r="P70" s="35" t="s">
        <v>2017</v>
      </c>
    </row>
    <row r="71" spans="1:16" ht="409.6" x14ac:dyDescent="0.25">
      <c r="A71" s="35">
        <v>69</v>
      </c>
      <c r="B71" s="34" t="s">
        <v>20433</v>
      </c>
      <c r="C71" s="35" t="s">
        <v>20434</v>
      </c>
      <c r="D71" s="34" t="s">
        <v>14794</v>
      </c>
      <c r="E71" s="34" t="s">
        <v>14795</v>
      </c>
      <c r="F71" s="34" t="s">
        <v>15310</v>
      </c>
      <c r="G71" s="34" t="s">
        <v>15311</v>
      </c>
      <c r="H71" s="34" t="s">
        <v>15709</v>
      </c>
      <c r="I71" s="35">
        <v>1</v>
      </c>
      <c r="J71" s="34" t="s">
        <v>20435</v>
      </c>
      <c r="K71" s="35"/>
      <c r="L71" s="34" t="s">
        <v>20426</v>
      </c>
      <c r="M71" s="35" t="s">
        <v>9</v>
      </c>
      <c r="N71" s="34" t="s">
        <v>20436</v>
      </c>
      <c r="O71" s="35" t="s">
        <v>164</v>
      </c>
      <c r="P71" s="35" t="s">
        <v>2109</v>
      </c>
    </row>
    <row r="72" spans="1:16" ht="409.6" x14ac:dyDescent="0.25">
      <c r="A72" s="35">
        <v>70</v>
      </c>
      <c r="B72" s="34" t="s">
        <v>20437</v>
      </c>
      <c r="C72" s="35"/>
      <c r="D72" s="34"/>
      <c r="E72" s="34" t="s">
        <v>20438</v>
      </c>
      <c r="F72" s="34" t="s">
        <v>20439</v>
      </c>
      <c r="G72" s="34"/>
      <c r="H72" s="34"/>
      <c r="I72" s="35">
        <v>1</v>
      </c>
      <c r="J72" s="34" t="s">
        <v>20440</v>
      </c>
      <c r="K72" s="35"/>
      <c r="L72" s="34" t="s">
        <v>20426</v>
      </c>
      <c r="M72" s="35" t="s">
        <v>9</v>
      </c>
      <c r="N72" s="34" t="s">
        <v>20441</v>
      </c>
      <c r="O72" s="35" t="s">
        <v>164</v>
      </c>
      <c r="P72" s="35" t="s">
        <v>2109</v>
      </c>
    </row>
    <row r="73" spans="1:16" ht="409.6" x14ac:dyDescent="0.25">
      <c r="A73" s="35">
        <v>71</v>
      </c>
      <c r="B73" s="34" t="s">
        <v>20442</v>
      </c>
      <c r="C73" s="35" t="s">
        <v>20443</v>
      </c>
      <c r="D73" s="34" t="s">
        <v>20444</v>
      </c>
      <c r="E73" s="34" t="s">
        <v>20445</v>
      </c>
      <c r="F73" s="34" t="s">
        <v>20446</v>
      </c>
      <c r="G73" s="34"/>
      <c r="H73" s="34"/>
      <c r="I73" s="35">
        <v>1</v>
      </c>
      <c r="J73" s="34" t="s">
        <v>20447</v>
      </c>
      <c r="K73" s="35"/>
      <c r="L73" s="34" t="s">
        <v>20426</v>
      </c>
      <c r="M73" s="35" t="s">
        <v>9</v>
      </c>
      <c r="N73" s="34" t="s">
        <v>20448</v>
      </c>
      <c r="O73" s="35" t="s">
        <v>164</v>
      </c>
      <c r="P73" s="35" t="s">
        <v>2109</v>
      </c>
    </row>
    <row r="74" spans="1:16" ht="409.6" x14ac:dyDescent="0.25">
      <c r="A74" s="35">
        <v>72</v>
      </c>
      <c r="B74" s="34" t="s">
        <v>20449</v>
      </c>
      <c r="C74" s="35" t="s">
        <v>20450</v>
      </c>
      <c r="D74" s="34" t="s">
        <v>20451</v>
      </c>
      <c r="E74" s="34" t="s">
        <v>20452</v>
      </c>
      <c r="F74" s="34" t="s">
        <v>20453</v>
      </c>
      <c r="G74" s="34" t="s">
        <v>15252</v>
      </c>
      <c r="H74" s="34" t="s">
        <v>20454</v>
      </c>
      <c r="I74" s="35">
        <v>1</v>
      </c>
      <c r="J74" s="34" t="s">
        <v>20455</v>
      </c>
      <c r="K74" s="35"/>
      <c r="L74" s="34" t="s">
        <v>20426</v>
      </c>
      <c r="M74" s="35" t="s">
        <v>9</v>
      </c>
      <c r="N74" s="34" t="s">
        <v>20456</v>
      </c>
      <c r="O74" s="35" t="s">
        <v>164</v>
      </c>
      <c r="P74" s="35" t="s">
        <v>2109</v>
      </c>
    </row>
    <row r="75" spans="1:16" ht="409.6" x14ac:dyDescent="0.25">
      <c r="A75" s="35">
        <v>73</v>
      </c>
      <c r="B75" s="34" t="s">
        <v>20457</v>
      </c>
      <c r="C75" s="35"/>
      <c r="D75" s="34" t="s">
        <v>20458</v>
      </c>
      <c r="E75" s="34" t="s">
        <v>20459</v>
      </c>
      <c r="F75" s="34" t="s">
        <v>20460</v>
      </c>
      <c r="G75" s="34" t="s">
        <v>20461</v>
      </c>
      <c r="H75" s="34" t="s">
        <v>20462</v>
      </c>
      <c r="I75" s="35">
        <v>1</v>
      </c>
      <c r="J75" s="34" t="s">
        <v>20463</v>
      </c>
      <c r="K75" s="35"/>
      <c r="L75" s="34" t="s">
        <v>20426</v>
      </c>
      <c r="M75" s="35" t="s">
        <v>9</v>
      </c>
      <c r="N75" s="34" t="s">
        <v>14757</v>
      </c>
      <c r="O75" s="35" t="s">
        <v>164</v>
      </c>
      <c r="P75" s="35" t="s">
        <v>2109</v>
      </c>
    </row>
    <row r="76" spans="1:16" ht="409.6" x14ac:dyDescent="0.25">
      <c r="A76" s="35">
        <v>74</v>
      </c>
      <c r="B76" s="34" t="s">
        <v>20464</v>
      </c>
      <c r="C76" s="35"/>
      <c r="D76" s="34" t="s">
        <v>11095</v>
      </c>
      <c r="E76" s="34" t="s">
        <v>20465</v>
      </c>
      <c r="F76" s="34" t="s">
        <v>11094</v>
      </c>
      <c r="G76" s="34" t="s">
        <v>11096</v>
      </c>
      <c r="H76" s="34" t="s">
        <v>20466</v>
      </c>
      <c r="I76" s="35">
        <v>1</v>
      </c>
      <c r="J76" s="34" t="s">
        <v>20467</v>
      </c>
      <c r="K76" s="35"/>
      <c r="L76" s="34" t="s">
        <v>20426</v>
      </c>
      <c r="M76" s="35" t="s">
        <v>9</v>
      </c>
      <c r="N76" s="34" t="s">
        <v>20468</v>
      </c>
      <c r="O76" s="35" t="s">
        <v>164</v>
      </c>
      <c r="P76" s="35" t="s">
        <v>2109</v>
      </c>
    </row>
    <row r="77" spans="1:16" ht="409.6" x14ac:dyDescent="0.25">
      <c r="A77" s="35">
        <v>75</v>
      </c>
      <c r="B77" s="34" t="s">
        <v>20469</v>
      </c>
      <c r="C77" s="35" t="s">
        <v>20470</v>
      </c>
      <c r="D77" s="34" t="s">
        <v>14794</v>
      </c>
      <c r="E77" s="34" t="s">
        <v>14795</v>
      </c>
      <c r="F77" s="34" t="s">
        <v>4740</v>
      </c>
      <c r="G77" s="34" t="s">
        <v>10342</v>
      </c>
      <c r="H77" s="34" t="s">
        <v>20471</v>
      </c>
      <c r="I77" s="35">
        <v>3</v>
      </c>
      <c r="J77" s="34" t="s">
        <v>20472</v>
      </c>
      <c r="K77" s="35"/>
      <c r="L77" s="34" t="s">
        <v>20426</v>
      </c>
      <c r="M77" s="35" t="s">
        <v>9</v>
      </c>
      <c r="N77" s="34" t="s">
        <v>20473</v>
      </c>
      <c r="O77" s="35" t="s">
        <v>164</v>
      </c>
      <c r="P77" s="35" t="s">
        <v>3354</v>
      </c>
    </row>
    <row r="78" spans="1:16" ht="409.6" x14ac:dyDescent="0.25">
      <c r="A78" s="35">
        <v>76</v>
      </c>
      <c r="B78" s="34" t="s">
        <v>20474</v>
      </c>
      <c r="C78" s="35" t="s">
        <v>20475</v>
      </c>
      <c r="D78" s="34" t="s">
        <v>2377</v>
      </c>
      <c r="E78" s="34" t="s">
        <v>15048</v>
      </c>
      <c r="F78" s="34" t="s">
        <v>20476</v>
      </c>
      <c r="G78" s="34" t="s">
        <v>20477</v>
      </c>
      <c r="H78" s="34" t="s">
        <v>20478</v>
      </c>
      <c r="I78" s="35">
        <v>1</v>
      </c>
      <c r="J78" s="34" t="s">
        <v>20479</v>
      </c>
      <c r="K78" s="35"/>
      <c r="L78" s="34" t="s">
        <v>20426</v>
      </c>
      <c r="M78" s="35" t="s">
        <v>9</v>
      </c>
      <c r="N78" s="34" t="s">
        <v>20480</v>
      </c>
      <c r="O78" s="35" t="s">
        <v>164</v>
      </c>
      <c r="P78" s="35" t="s">
        <v>3354</v>
      </c>
    </row>
    <row r="79" spans="1:16" ht="409.6" x14ac:dyDescent="0.25">
      <c r="A79" s="35">
        <v>77</v>
      </c>
      <c r="B79" s="34" t="s">
        <v>20481</v>
      </c>
      <c r="C79" s="35"/>
      <c r="D79" s="34" t="s">
        <v>1713</v>
      </c>
      <c r="E79" s="34" t="s">
        <v>20482</v>
      </c>
      <c r="F79" s="34" t="s">
        <v>20483</v>
      </c>
      <c r="G79" s="34" t="s">
        <v>17067</v>
      </c>
      <c r="H79" s="34" t="s">
        <v>20484</v>
      </c>
      <c r="I79" s="35">
        <v>1</v>
      </c>
      <c r="J79" s="34" t="s">
        <v>20485</v>
      </c>
      <c r="K79" s="35"/>
      <c r="L79" s="34" t="s">
        <v>20426</v>
      </c>
      <c r="M79" s="35" t="s">
        <v>9</v>
      </c>
      <c r="N79" s="34" t="s">
        <v>20486</v>
      </c>
      <c r="O79" s="35" t="s">
        <v>164</v>
      </c>
      <c r="P79" s="35" t="s">
        <v>3354</v>
      </c>
    </row>
    <row r="80" spans="1:16" ht="409.6" x14ac:dyDescent="0.25">
      <c r="A80" s="35">
        <v>78</v>
      </c>
      <c r="B80" s="34" t="s">
        <v>20487</v>
      </c>
      <c r="C80" s="35"/>
      <c r="D80" s="34" t="s">
        <v>20488</v>
      </c>
      <c r="E80" s="34" t="s">
        <v>20489</v>
      </c>
      <c r="F80" s="34" t="s">
        <v>20490</v>
      </c>
      <c r="G80" s="34" t="s">
        <v>20491</v>
      </c>
      <c r="H80" s="34" t="s">
        <v>20492</v>
      </c>
      <c r="I80" s="35">
        <v>1</v>
      </c>
      <c r="J80" s="34" t="s">
        <v>20493</v>
      </c>
      <c r="K80" s="35"/>
      <c r="L80" s="34" t="s">
        <v>20426</v>
      </c>
      <c r="M80" s="35" t="s">
        <v>9</v>
      </c>
      <c r="N80" s="34" t="s">
        <v>20494</v>
      </c>
      <c r="O80" s="35" t="s">
        <v>164</v>
      </c>
      <c r="P80" s="35" t="s">
        <v>2271</v>
      </c>
    </row>
    <row r="81" spans="1:16" ht="409.6" x14ac:dyDescent="0.25">
      <c r="A81" s="35">
        <v>79</v>
      </c>
      <c r="B81" s="34" t="s">
        <v>20495</v>
      </c>
      <c r="C81" s="35"/>
      <c r="D81" s="34" t="s">
        <v>20496</v>
      </c>
      <c r="E81" s="34" t="s">
        <v>20497</v>
      </c>
      <c r="F81" s="34" t="s">
        <v>20498</v>
      </c>
      <c r="G81" s="34" t="s">
        <v>20499</v>
      </c>
      <c r="H81" s="34" t="s">
        <v>20500</v>
      </c>
      <c r="I81" s="35">
        <v>1</v>
      </c>
      <c r="J81" s="34" t="s">
        <v>20501</v>
      </c>
      <c r="K81" s="35"/>
      <c r="L81" s="34" t="s">
        <v>20426</v>
      </c>
      <c r="M81" s="35" t="s">
        <v>9</v>
      </c>
      <c r="N81" s="34" t="s">
        <v>20502</v>
      </c>
      <c r="O81" s="35" t="s">
        <v>164</v>
      </c>
      <c r="P81" s="35" t="s">
        <v>2514</v>
      </c>
    </row>
    <row r="82" spans="1:16" ht="409.6" x14ac:dyDescent="0.25">
      <c r="A82" s="35">
        <v>80</v>
      </c>
      <c r="B82" s="34" t="s">
        <v>20503</v>
      </c>
      <c r="C82" s="35"/>
      <c r="D82" s="34" t="s">
        <v>20504</v>
      </c>
      <c r="E82" s="34" t="s">
        <v>20505</v>
      </c>
      <c r="F82" s="34" t="s">
        <v>20506</v>
      </c>
      <c r="G82" s="34" t="s">
        <v>20507</v>
      </c>
      <c r="H82" s="34" t="s">
        <v>20508</v>
      </c>
      <c r="I82" s="35">
        <v>1</v>
      </c>
      <c r="J82" s="34" t="s">
        <v>20509</v>
      </c>
      <c r="K82" s="35"/>
      <c r="L82" s="34" t="s">
        <v>20426</v>
      </c>
      <c r="M82" s="35" t="s">
        <v>9</v>
      </c>
      <c r="N82" s="34" t="s">
        <v>20510</v>
      </c>
      <c r="O82" s="35" t="s">
        <v>164</v>
      </c>
      <c r="P82" s="35" t="s">
        <v>2514</v>
      </c>
    </row>
    <row r="83" spans="1:16" ht="13.2" x14ac:dyDescent="0.25">
      <c r="A83">
        <v>81</v>
      </c>
      <c r="B83" t="s">
        <v>20511</v>
      </c>
      <c r="D83" t="s">
        <v>11070</v>
      </c>
      <c r="E83" t="s">
        <v>6666</v>
      </c>
      <c r="F83" t="s">
        <v>20512</v>
      </c>
      <c r="G83" t="s">
        <v>3058</v>
      </c>
      <c r="H83" t="s">
        <v>799</v>
      </c>
      <c r="I83" t="s">
        <v>84</v>
      </c>
      <c r="J83" t="s">
        <v>20513</v>
      </c>
      <c r="L83" t="s">
        <v>1645</v>
      </c>
      <c r="M83" t="s">
        <v>29</v>
      </c>
      <c r="N83" t="s">
        <v>20514</v>
      </c>
    </row>
  </sheetData>
  <mergeCells count="1">
    <mergeCell ref="A1:F1"/>
  </mergeCells>
  <pageMargins left="0.75" right="0.75" top="1" bottom="1" header="0.5" footer="0.5"/>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Q315"/>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24" t="s">
        <v>10</v>
      </c>
      <c r="B2" s="24" t="s">
        <v>11</v>
      </c>
      <c r="C2" s="24" t="s">
        <v>12</v>
      </c>
      <c r="D2" s="24" t="s">
        <v>13</v>
      </c>
      <c r="E2" s="24" t="s">
        <v>14</v>
      </c>
      <c r="F2" s="24" t="s">
        <v>15</v>
      </c>
      <c r="G2" s="24" t="s">
        <v>16</v>
      </c>
      <c r="H2" s="24" t="s">
        <v>17</v>
      </c>
      <c r="I2" s="24" t="s">
        <v>154</v>
      </c>
      <c r="J2" s="24" t="s">
        <v>19</v>
      </c>
      <c r="K2" s="24" t="s">
        <v>20</v>
      </c>
      <c r="L2" s="24" t="s">
        <v>81</v>
      </c>
      <c r="M2" s="24" t="s">
        <v>155</v>
      </c>
      <c r="N2" s="24" t="s">
        <v>23</v>
      </c>
      <c r="O2" s="2" t="s">
        <v>24</v>
      </c>
      <c r="P2" s="2" t="s">
        <v>25</v>
      </c>
    </row>
    <row r="3" spans="1:16" ht="13.2" customHeight="1" x14ac:dyDescent="0.25">
      <c r="A3" s="2">
        <v>1</v>
      </c>
      <c r="B3" s="2" t="s">
        <v>20515</v>
      </c>
      <c r="C3" s="2"/>
      <c r="D3" s="2" t="s">
        <v>20516</v>
      </c>
      <c r="E3" s="2" t="s">
        <v>20517</v>
      </c>
      <c r="F3" s="2" t="s">
        <v>20518</v>
      </c>
      <c r="G3" s="2" t="s">
        <v>20519</v>
      </c>
      <c r="H3" s="2" t="s">
        <v>20520</v>
      </c>
      <c r="I3" s="2">
        <v>2</v>
      </c>
      <c r="J3" s="2" t="s">
        <v>20521</v>
      </c>
      <c r="K3" s="2"/>
      <c r="L3" s="2" t="s">
        <v>20522</v>
      </c>
      <c r="M3" s="2" t="s">
        <v>72</v>
      </c>
      <c r="N3" s="2" t="s">
        <v>20522</v>
      </c>
      <c r="O3" s="2" t="s">
        <v>816</v>
      </c>
      <c r="P3" s="2"/>
    </row>
    <row r="4" spans="1:16" ht="13.2" customHeight="1" x14ac:dyDescent="0.25">
      <c r="A4" s="2">
        <v>6</v>
      </c>
      <c r="B4" s="2" t="s">
        <v>20523</v>
      </c>
      <c r="C4" s="2"/>
      <c r="D4" s="2" t="s">
        <v>20524</v>
      </c>
      <c r="E4" s="2" t="s">
        <v>20525</v>
      </c>
      <c r="F4" s="2" t="s">
        <v>20526</v>
      </c>
      <c r="G4" s="2" t="s">
        <v>20527</v>
      </c>
      <c r="H4" s="2" t="s">
        <v>20528</v>
      </c>
      <c r="I4" s="2">
        <v>4</v>
      </c>
      <c r="J4" s="2" t="s">
        <v>20529</v>
      </c>
      <c r="K4" s="2"/>
      <c r="L4" s="2" t="s">
        <v>20522</v>
      </c>
      <c r="M4" s="2" t="s">
        <v>72</v>
      </c>
      <c r="N4" s="2" t="s">
        <v>12470</v>
      </c>
      <c r="O4" s="2" t="s">
        <v>816</v>
      </c>
      <c r="P4" s="2" t="s">
        <v>669</v>
      </c>
    </row>
    <row r="5" spans="1:16" ht="13.2" customHeight="1" x14ac:dyDescent="0.25">
      <c r="A5" s="2">
        <v>7</v>
      </c>
      <c r="B5" s="2" t="s">
        <v>20530</v>
      </c>
      <c r="C5" s="2"/>
      <c r="D5" s="2" t="s">
        <v>20531</v>
      </c>
      <c r="E5" s="2" t="s">
        <v>20532</v>
      </c>
      <c r="F5" s="2" t="s">
        <v>20533</v>
      </c>
      <c r="G5" s="2" t="s">
        <v>20534</v>
      </c>
      <c r="H5" s="2" t="s">
        <v>20535</v>
      </c>
      <c r="I5" s="2">
        <v>2</v>
      </c>
      <c r="J5" s="2" t="s">
        <v>20536</v>
      </c>
      <c r="K5" s="2"/>
      <c r="L5" s="2" t="s">
        <v>20522</v>
      </c>
      <c r="M5" s="2" t="s">
        <v>72</v>
      </c>
      <c r="N5" s="2" t="s">
        <v>5270</v>
      </c>
      <c r="O5" s="2" t="s">
        <v>816</v>
      </c>
      <c r="P5" s="2" t="s">
        <v>669</v>
      </c>
    </row>
    <row r="6" spans="1:16" ht="13.2" customHeight="1" x14ac:dyDescent="0.25">
      <c r="A6" s="2">
        <v>8</v>
      </c>
      <c r="B6" s="2" t="s">
        <v>20537</v>
      </c>
      <c r="C6" s="2"/>
      <c r="D6" s="2" t="s">
        <v>4068</v>
      </c>
      <c r="E6" s="2" t="s">
        <v>4067</v>
      </c>
      <c r="F6" s="2" t="s">
        <v>20538</v>
      </c>
      <c r="G6" s="2" t="s">
        <v>20539</v>
      </c>
      <c r="H6" s="2" t="s">
        <v>20540</v>
      </c>
      <c r="I6" s="2">
        <v>2</v>
      </c>
      <c r="J6" s="2" t="s">
        <v>20541</v>
      </c>
      <c r="K6" s="2"/>
      <c r="L6" s="2" t="s">
        <v>20522</v>
      </c>
      <c r="M6" s="2" t="s">
        <v>72</v>
      </c>
      <c r="N6" s="2" t="s">
        <v>715</v>
      </c>
      <c r="O6" s="2" t="s">
        <v>816</v>
      </c>
      <c r="P6" s="2" t="s">
        <v>669</v>
      </c>
    </row>
    <row r="7" spans="1:16" ht="13.2" customHeight="1" x14ac:dyDescent="0.25">
      <c r="A7" s="2">
        <v>10</v>
      </c>
      <c r="B7" s="2" t="s">
        <v>20542</v>
      </c>
      <c r="C7" s="2"/>
      <c r="D7" s="2" t="s">
        <v>20543</v>
      </c>
      <c r="E7" s="2" t="s">
        <v>20544</v>
      </c>
      <c r="F7" s="2" t="s">
        <v>20545</v>
      </c>
      <c r="G7" s="2" t="s">
        <v>20546</v>
      </c>
      <c r="H7" s="2" t="s">
        <v>20547</v>
      </c>
      <c r="I7" s="2">
        <v>2</v>
      </c>
      <c r="J7" s="2" t="s">
        <v>20548</v>
      </c>
      <c r="K7" s="2"/>
      <c r="L7" s="2" t="s">
        <v>20522</v>
      </c>
      <c r="M7" s="2" t="s">
        <v>72</v>
      </c>
      <c r="N7" s="2" t="s">
        <v>2787</v>
      </c>
      <c r="O7" s="2" t="s">
        <v>816</v>
      </c>
      <c r="P7" s="2" t="s">
        <v>669</v>
      </c>
    </row>
    <row r="8" spans="1:16" ht="13.2" customHeight="1" x14ac:dyDescent="0.25">
      <c r="A8" s="2">
        <v>11</v>
      </c>
      <c r="B8" s="2" t="s">
        <v>20549</v>
      </c>
      <c r="C8" s="2"/>
      <c r="D8" s="2" t="s">
        <v>12335</v>
      </c>
      <c r="E8" s="2" t="s">
        <v>12336</v>
      </c>
      <c r="F8" s="2" t="s">
        <v>12337</v>
      </c>
      <c r="G8" s="2" t="s">
        <v>20550</v>
      </c>
      <c r="H8" s="2" t="s">
        <v>20551</v>
      </c>
      <c r="I8" s="2">
        <v>1</v>
      </c>
      <c r="J8" s="2" t="s">
        <v>20552</v>
      </c>
      <c r="K8" s="2"/>
      <c r="L8" s="2" t="s">
        <v>20522</v>
      </c>
      <c r="M8" s="2" t="s">
        <v>72</v>
      </c>
      <c r="N8" s="2" t="s">
        <v>1755</v>
      </c>
      <c r="O8" s="2" t="s">
        <v>816</v>
      </c>
      <c r="P8" s="2" t="s">
        <v>669</v>
      </c>
    </row>
    <row r="9" spans="1:16" ht="13.2" customHeight="1" x14ac:dyDescent="0.25">
      <c r="A9" s="2">
        <v>12</v>
      </c>
      <c r="B9" s="2" t="s">
        <v>20553</v>
      </c>
      <c r="C9" s="2"/>
      <c r="D9" s="2" t="s">
        <v>20554</v>
      </c>
      <c r="E9" s="2" t="s">
        <v>12336</v>
      </c>
      <c r="F9" s="2" t="s">
        <v>12335</v>
      </c>
      <c r="G9" s="2" t="s">
        <v>20555</v>
      </c>
      <c r="H9" s="2" t="s">
        <v>20556</v>
      </c>
      <c r="I9" s="2">
        <v>3</v>
      </c>
      <c r="J9" s="2" t="s">
        <v>20557</v>
      </c>
      <c r="K9" s="2"/>
      <c r="L9" s="2" t="s">
        <v>20522</v>
      </c>
      <c r="M9" s="2" t="s">
        <v>72</v>
      </c>
      <c r="N9" s="2" t="s">
        <v>8350</v>
      </c>
      <c r="O9" s="2" t="s">
        <v>816</v>
      </c>
      <c r="P9" s="2" t="s">
        <v>669</v>
      </c>
    </row>
    <row r="10" spans="1:16" ht="13.2" customHeight="1" x14ac:dyDescent="0.25">
      <c r="A10" s="2">
        <v>13</v>
      </c>
      <c r="B10" s="2" t="s">
        <v>20558</v>
      </c>
      <c r="C10" s="2"/>
      <c r="D10" s="2" t="s">
        <v>20559</v>
      </c>
      <c r="E10" s="2" t="s">
        <v>20560</v>
      </c>
      <c r="F10" s="2" t="s">
        <v>20561</v>
      </c>
      <c r="G10" s="2" t="s">
        <v>20562</v>
      </c>
      <c r="H10" s="2" t="s">
        <v>781</v>
      </c>
      <c r="I10" s="2">
        <v>1</v>
      </c>
      <c r="J10" s="2" t="s">
        <v>20563</v>
      </c>
      <c r="K10" s="2"/>
      <c r="L10" s="2" t="s">
        <v>20522</v>
      </c>
      <c r="M10" s="2" t="s">
        <v>72</v>
      </c>
      <c r="N10" s="2" t="s">
        <v>6530</v>
      </c>
      <c r="O10" s="2" t="s">
        <v>816</v>
      </c>
      <c r="P10" s="2" t="s">
        <v>669</v>
      </c>
    </row>
    <row r="11" spans="1:16" ht="13.2" customHeight="1" x14ac:dyDescent="0.25">
      <c r="A11" s="2">
        <v>14</v>
      </c>
      <c r="B11" s="2" t="s">
        <v>20564</v>
      </c>
      <c r="C11" s="2"/>
      <c r="D11" s="2" t="s">
        <v>20565</v>
      </c>
      <c r="E11" s="2" t="s">
        <v>20566</v>
      </c>
      <c r="F11" s="2" t="s">
        <v>20567</v>
      </c>
      <c r="G11" s="2" t="s">
        <v>20568</v>
      </c>
      <c r="H11" s="2" t="s">
        <v>20569</v>
      </c>
      <c r="I11" s="2">
        <v>2</v>
      </c>
      <c r="J11" s="2" t="s">
        <v>20570</v>
      </c>
      <c r="K11" s="2"/>
      <c r="L11" s="2" t="s">
        <v>20522</v>
      </c>
      <c r="M11" s="2" t="s">
        <v>72</v>
      </c>
      <c r="N11" s="2" t="s">
        <v>20571</v>
      </c>
      <c r="O11" s="2" t="s">
        <v>816</v>
      </c>
      <c r="P11" s="2" t="s">
        <v>669</v>
      </c>
    </row>
    <row r="12" spans="1:16" ht="13.2" customHeight="1" x14ac:dyDescent="0.25">
      <c r="A12" s="2">
        <v>15</v>
      </c>
      <c r="B12" s="2" t="s">
        <v>20572</v>
      </c>
      <c r="C12" s="2"/>
      <c r="D12" s="2" t="s">
        <v>20573</v>
      </c>
      <c r="E12" s="2" t="s">
        <v>20574</v>
      </c>
      <c r="F12" s="2" t="s">
        <v>20575</v>
      </c>
      <c r="G12" s="2" t="s">
        <v>20576</v>
      </c>
      <c r="H12" s="2" t="s">
        <v>20577</v>
      </c>
      <c r="I12" s="2">
        <v>5</v>
      </c>
      <c r="J12" s="2" t="s">
        <v>20578</v>
      </c>
      <c r="K12" s="2"/>
      <c r="L12" s="2" t="s">
        <v>20579</v>
      </c>
      <c r="M12" s="2" t="s">
        <v>72</v>
      </c>
      <c r="N12" s="2" t="s">
        <v>5329</v>
      </c>
      <c r="O12" s="2" t="s">
        <v>816</v>
      </c>
      <c r="P12" s="2" t="s">
        <v>669</v>
      </c>
    </row>
    <row r="13" spans="1:16" ht="13.2" customHeight="1" x14ac:dyDescent="0.25">
      <c r="A13" s="2">
        <v>16</v>
      </c>
      <c r="B13" s="2" t="s">
        <v>20580</v>
      </c>
      <c r="C13" s="2"/>
      <c r="D13" s="2" t="s">
        <v>20581</v>
      </c>
      <c r="E13" s="2" t="s">
        <v>20582</v>
      </c>
      <c r="F13" s="2" t="s">
        <v>20583</v>
      </c>
      <c r="G13" s="2" t="s">
        <v>20584</v>
      </c>
      <c r="H13" s="2" t="s">
        <v>20585</v>
      </c>
      <c r="I13" s="2">
        <v>2</v>
      </c>
      <c r="J13" s="2" t="s">
        <v>20586</v>
      </c>
      <c r="K13" s="2"/>
      <c r="L13" s="2" t="s">
        <v>20587</v>
      </c>
      <c r="M13" s="2" t="s">
        <v>72</v>
      </c>
      <c r="N13" s="2" t="s">
        <v>765</v>
      </c>
      <c r="O13" s="2" t="s">
        <v>816</v>
      </c>
      <c r="P13" s="2" t="s">
        <v>669</v>
      </c>
    </row>
    <row r="14" spans="1:16" ht="13.2" customHeight="1" x14ac:dyDescent="0.25">
      <c r="A14" s="2">
        <v>17</v>
      </c>
      <c r="B14" s="2" t="s">
        <v>20588</v>
      </c>
      <c r="C14" s="2"/>
      <c r="D14" s="2" t="s">
        <v>20589</v>
      </c>
      <c r="E14" s="2" t="s">
        <v>20590</v>
      </c>
      <c r="F14" s="2" t="s">
        <v>20591</v>
      </c>
      <c r="G14" s="2" t="s">
        <v>20592</v>
      </c>
      <c r="H14" s="2" t="s">
        <v>20593</v>
      </c>
      <c r="I14" s="2">
        <v>3</v>
      </c>
      <c r="J14" s="2" t="s">
        <v>20594</v>
      </c>
      <c r="K14" s="2"/>
      <c r="L14" s="2" t="s">
        <v>20522</v>
      </c>
      <c r="M14" s="2" t="s">
        <v>72</v>
      </c>
      <c r="N14" s="2" t="s">
        <v>6555</v>
      </c>
      <c r="O14" s="2" t="s">
        <v>816</v>
      </c>
      <c r="P14" s="2" t="s">
        <v>669</v>
      </c>
    </row>
    <row r="15" spans="1:16" ht="13.2" customHeight="1" x14ac:dyDescent="0.25">
      <c r="A15" s="2">
        <v>18</v>
      </c>
      <c r="B15" s="2" t="s">
        <v>20595</v>
      </c>
      <c r="C15" s="2"/>
      <c r="D15" s="2" t="s">
        <v>20596</v>
      </c>
      <c r="E15" s="2" t="s">
        <v>20597</v>
      </c>
      <c r="F15" s="2" t="s">
        <v>20598</v>
      </c>
      <c r="G15" s="2" t="s">
        <v>20599</v>
      </c>
      <c r="H15" s="2" t="s">
        <v>781</v>
      </c>
      <c r="I15" s="2">
        <v>5</v>
      </c>
      <c r="J15" s="2" t="s">
        <v>20600</v>
      </c>
      <c r="K15" s="2"/>
      <c r="L15" s="2" t="s">
        <v>20522</v>
      </c>
      <c r="M15" s="2" t="s">
        <v>72</v>
      </c>
      <c r="N15" s="2" t="s">
        <v>8451</v>
      </c>
      <c r="O15" s="2" t="s">
        <v>816</v>
      </c>
      <c r="P15" s="2" t="s">
        <v>669</v>
      </c>
    </row>
    <row r="16" spans="1:16" ht="13.2" customHeight="1" x14ac:dyDescent="0.25">
      <c r="A16" s="2">
        <v>19</v>
      </c>
      <c r="B16" s="2" t="s">
        <v>20601</v>
      </c>
      <c r="C16" s="2"/>
      <c r="D16" s="2" t="s">
        <v>20602</v>
      </c>
      <c r="E16" s="2" t="s">
        <v>20603</v>
      </c>
      <c r="F16" s="2" t="s">
        <v>20604</v>
      </c>
      <c r="G16" s="2" t="s">
        <v>20605</v>
      </c>
      <c r="H16" s="2" t="s">
        <v>20606</v>
      </c>
      <c r="I16" s="2">
        <v>2</v>
      </c>
      <c r="J16" s="2" t="s">
        <v>20607</v>
      </c>
      <c r="K16" s="2"/>
      <c r="L16" s="2" t="s">
        <v>20522</v>
      </c>
      <c r="M16" s="2" t="s">
        <v>72</v>
      </c>
      <c r="N16" s="2" t="s">
        <v>2854</v>
      </c>
      <c r="O16" s="2" t="s">
        <v>816</v>
      </c>
      <c r="P16" s="2" t="s">
        <v>669</v>
      </c>
    </row>
    <row r="17" spans="1:16" ht="13.2" customHeight="1" x14ac:dyDescent="0.25">
      <c r="A17" s="2">
        <v>20</v>
      </c>
      <c r="B17" s="2" t="s">
        <v>20608</v>
      </c>
      <c r="C17" s="2"/>
      <c r="D17" s="2" t="s">
        <v>20609</v>
      </c>
      <c r="E17" s="2" t="s">
        <v>20610</v>
      </c>
      <c r="F17" s="2" t="s">
        <v>20611</v>
      </c>
      <c r="G17" s="2" t="s">
        <v>20612</v>
      </c>
      <c r="H17" s="2" t="s">
        <v>20613</v>
      </c>
      <c r="I17" s="2">
        <v>4</v>
      </c>
      <c r="J17" s="2" t="s">
        <v>20614</v>
      </c>
      <c r="K17" s="2"/>
      <c r="L17" s="2" t="s">
        <v>20522</v>
      </c>
      <c r="M17" s="2" t="s">
        <v>72</v>
      </c>
      <c r="N17" s="2" t="s">
        <v>20615</v>
      </c>
      <c r="O17" s="2" t="s">
        <v>816</v>
      </c>
      <c r="P17" s="2" t="s">
        <v>669</v>
      </c>
    </row>
    <row r="18" spans="1:16" ht="13.2" customHeight="1" x14ac:dyDescent="0.25">
      <c r="A18" s="2">
        <v>21</v>
      </c>
      <c r="B18" s="2" t="s">
        <v>20616</v>
      </c>
      <c r="C18" s="2"/>
      <c r="D18" s="2" t="s">
        <v>20617</v>
      </c>
      <c r="E18" s="2" t="s">
        <v>20618</v>
      </c>
      <c r="F18" s="2" t="s">
        <v>20619</v>
      </c>
      <c r="G18" s="2" t="s">
        <v>20620</v>
      </c>
      <c r="H18" s="2" t="s">
        <v>20621</v>
      </c>
      <c r="I18" s="2">
        <v>4</v>
      </c>
      <c r="J18" s="2" t="s">
        <v>20622</v>
      </c>
      <c r="K18" s="2"/>
      <c r="L18" s="2" t="s">
        <v>20522</v>
      </c>
      <c r="M18" s="2" t="s">
        <v>72</v>
      </c>
      <c r="N18" s="2" t="s">
        <v>1831</v>
      </c>
      <c r="O18" s="2" t="s">
        <v>816</v>
      </c>
      <c r="P18" s="2" t="s">
        <v>669</v>
      </c>
    </row>
    <row r="19" spans="1:16" ht="13.2" customHeight="1" x14ac:dyDescent="0.25">
      <c r="A19" s="2">
        <v>22</v>
      </c>
      <c r="B19" s="2" t="s">
        <v>20623</v>
      </c>
      <c r="C19" s="2"/>
      <c r="D19" s="2" t="s">
        <v>2804</v>
      </c>
      <c r="E19" s="2" t="s">
        <v>2805</v>
      </c>
      <c r="F19" s="2" t="s">
        <v>2806</v>
      </c>
      <c r="G19" s="2" t="s">
        <v>2807</v>
      </c>
      <c r="H19" s="2" t="s">
        <v>2808</v>
      </c>
      <c r="I19" s="2">
        <v>2</v>
      </c>
      <c r="J19" s="2" t="s">
        <v>20624</v>
      </c>
      <c r="K19" s="2"/>
      <c r="L19" s="2" t="s">
        <v>20522</v>
      </c>
      <c r="M19" s="2" t="s">
        <v>72</v>
      </c>
      <c r="N19" s="2" t="s">
        <v>1839</v>
      </c>
      <c r="O19" s="2" t="s">
        <v>816</v>
      </c>
      <c r="P19" s="2" t="s">
        <v>669</v>
      </c>
    </row>
    <row r="20" spans="1:16" ht="13.2" customHeight="1" x14ac:dyDescent="0.25">
      <c r="A20" s="2">
        <v>23</v>
      </c>
      <c r="B20" s="2" t="s">
        <v>20625</v>
      </c>
      <c r="C20" s="2"/>
      <c r="D20" s="2" t="s">
        <v>20539</v>
      </c>
      <c r="E20" s="2" t="s">
        <v>4068</v>
      </c>
      <c r="F20" s="2" t="s">
        <v>4067</v>
      </c>
      <c r="G20" s="2" t="s">
        <v>20626</v>
      </c>
      <c r="H20" s="2" t="s">
        <v>20627</v>
      </c>
      <c r="I20" s="2">
        <v>2</v>
      </c>
      <c r="J20" s="2" t="s">
        <v>20628</v>
      </c>
      <c r="K20" s="2"/>
      <c r="L20" s="2" t="s">
        <v>20522</v>
      </c>
      <c r="M20" s="2" t="s">
        <v>72</v>
      </c>
      <c r="N20" s="2" t="s">
        <v>5383</v>
      </c>
      <c r="O20" s="2" t="s">
        <v>816</v>
      </c>
      <c r="P20" s="2" t="s">
        <v>669</v>
      </c>
    </row>
    <row r="21" spans="1:16" ht="13.2" customHeight="1" x14ac:dyDescent="0.25">
      <c r="A21" s="2">
        <v>24</v>
      </c>
      <c r="B21" s="2" t="s">
        <v>20629</v>
      </c>
      <c r="C21" s="2"/>
      <c r="D21" s="2" t="s">
        <v>20630</v>
      </c>
      <c r="E21" s="2" t="s">
        <v>20631</v>
      </c>
      <c r="F21" s="2" t="s">
        <v>20632</v>
      </c>
      <c r="G21" s="2" t="s">
        <v>20633</v>
      </c>
      <c r="H21" s="2" t="s">
        <v>20634</v>
      </c>
      <c r="I21" s="2">
        <v>1</v>
      </c>
      <c r="J21" s="2" t="s">
        <v>20635</v>
      </c>
      <c r="K21" s="2"/>
      <c r="L21" s="2" t="s">
        <v>20522</v>
      </c>
      <c r="M21" s="2" t="s">
        <v>72</v>
      </c>
      <c r="N21" s="2" t="s">
        <v>815</v>
      </c>
      <c r="O21" s="2" t="s">
        <v>816</v>
      </c>
      <c r="P21" s="2" t="s">
        <v>669</v>
      </c>
    </row>
    <row r="22" spans="1:16" ht="13.2" customHeight="1" x14ac:dyDescent="0.25">
      <c r="A22" s="2">
        <v>25</v>
      </c>
      <c r="B22" s="2" t="s">
        <v>20636</v>
      </c>
      <c r="C22" s="2"/>
      <c r="D22" s="2" t="s">
        <v>20637</v>
      </c>
      <c r="E22" s="2" t="s">
        <v>20638</v>
      </c>
      <c r="F22" s="2" t="s">
        <v>20639</v>
      </c>
      <c r="G22" s="2" t="s">
        <v>20640</v>
      </c>
      <c r="H22" s="2" t="s">
        <v>20641</v>
      </c>
      <c r="I22" s="2">
        <v>1</v>
      </c>
      <c r="J22" s="2" t="s">
        <v>20642</v>
      </c>
      <c r="K22" s="2"/>
      <c r="L22" s="2" t="s">
        <v>20587</v>
      </c>
      <c r="M22" s="2" t="s">
        <v>72</v>
      </c>
      <c r="N22" s="2" t="s">
        <v>5395</v>
      </c>
      <c r="O22" s="2" t="s">
        <v>816</v>
      </c>
      <c r="P22" s="2" t="s">
        <v>669</v>
      </c>
    </row>
    <row r="23" spans="1:16" ht="13.2" customHeight="1" x14ac:dyDescent="0.25">
      <c r="A23" s="2">
        <v>26</v>
      </c>
      <c r="B23" s="2" t="s">
        <v>20643</v>
      </c>
      <c r="C23" s="2"/>
      <c r="D23" s="2" t="s">
        <v>20644</v>
      </c>
      <c r="E23" s="2" t="s">
        <v>20645</v>
      </c>
      <c r="F23" s="2" t="s">
        <v>20646</v>
      </c>
      <c r="G23" s="2" t="s">
        <v>20647</v>
      </c>
      <c r="H23" s="2" t="s">
        <v>20648</v>
      </c>
      <c r="I23" s="2">
        <v>2</v>
      </c>
      <c r="J23" s="2" t="s">
        <v>20649</v>
      </c>
      <c r="K23" s="2"/>
      <c r="L23" s="2" t="s">
        <v>20522</v>
      </c>
      <c r="M23" s="2" t="s">
        <v>72</v>
      </c>
      <c r="N23" s="2" t="s">
        <v>830</v>
      </c>
      <c r="O23" s="2" t="s">
        <v>816</v>
      </c>
      <c r="P23" s="2" t="s">
        <v>669</v>
      </c>
    </row>
    <row r="24" spans="1:16" ht="13.2" customHeight="1" x14ac:dyDescent="0.25">
      <c r="A24" s="2">
        <v>27</v>
      </c>
      <c r="B24" s="2" t="s">
        <v>20650</v>
      </c>
      <c r="C24" s="2"/>
      <c r="D24" s="2" t="s">
        <v>10975</v>
      </c>
      <c r="E24" s="2" t="s">
        <v>10976</v>
      </c>
      <c r="F24" s="2" t="s">
        <v>20651</v>
      </c>
      <c r="G24" s="2" t="s">
        <v>20652</v>
      </c>
      <c r="H24" s="2" t="s">
        <v>10979</v>
      </c>
      <c r="I24" s="2">
        <v>4</v>
      </c>
      <c r="J24" s="2" t="s">
        <v>20653</v>
      </c>
      <c r="K24" s="2"/>
      <c r="L24" s="2" t="s">
        <v>20522</v>
      </c>
      <c r="M24" s="2" t="s">
        <v>72</v>
      </c>
      <c r="N24" s="2" t="s">
        <v>11625</v>
      </c>
      <c r="O24" s="2" t="s">
        <v>816</v>
      </c>
      <c r="P24" s="2" t="s">
        <v>669</v>
      </c>
    </row>
    <row r="25" spans="1:16" ht="13.2" customHeight="1" x14ac:dyDescent="0.25">
      <c r="A25" s="2">
        <v>28</v>
      </c>
      <c r="B25" s="2" t="s">
        <v>20654</v>
      </c>
      <c r="C25" s="2"/>
      <c r="D25" s="2" t="s">
        <v>20655</v>
      </c>
      <c r="E25" s="2" t="s">
        <v>20656</v>
      </c>
      <c r="F25" s="2" t="s">
        <v>20657</v>
      </c>
      <c r="G25" s="2" t="s">
        <v>20658</v>
      </c>
      <c r="H25" s="2" t="s">
        <v>20659</v>
      </c>
      <c r="I25" s="2">
        <v>1</v>
      </c>
      <c r="J25" s="2" t="s">
        <v>20660</v>
      </c>
      <c r="K25" s="2"/>
      <c r="L25" s="2" t="s">
        <v>20522</v>
      </c>
      <c r="M25" s="2" t="s">
        <v>72</v>
      </c>
      <c r="N25" s="2" t="s">
        <v>20661</v>
      </c>
      <c r="O25" s="2" t="s">
        <v>816</v>
      </c>
      <c r="P25" s="2" t="s">
        <v>669</v>
      </c>
    </row>
    <row r="26" spans="1:16" ht="13.2" customHeight="1" x14ac:dyDescent="0.25">
      <c r="A26" s="2">
        <v>29</v>
      </c>
      <c r="B26" s="2" t="s">
        <v>20662</v>
      </c>
      <c r="C26" s="2"/>
      <c r="D26" s="2" t="s">
        <v>20663</v>
      </c>
      <c r="E26" s="2" t="s">
        <v>20664</v>
      </c>
      <c r="F26" s="2" t="s">
        <v>20665</v>
      </c>
      <c r="G26" s="2" t="s">
        <v>20666</v>
      </c>
      <c r="H26" s="2" t="s">
        <v>4068</v>
      </c>
      <c r="I26" s="2">
        <v>2</v>
      </c>
      <c r="J26" s="2" t="s">
        <v>20667</v>
      </c>
      <c r="K26" s="2"/>
      <c r="L26" s="2" t="s">
        <v>20522</v>
      </c>
      <c r="M26" s="2" t="s">
        <v>72</v>
      </c>
      <c r="N26" s="2" t="s">
        <v>20668</v>
      </c>
      <c r="O26" s="2" t="s">
        <v>816</v>
      </c>
      <c r="P26" s="2" t="s">
        <v>669</v>
      </c>
    </row>
    <row r="27" spans="1:16" ht="13.2" customHeight="1" x14ac:dyDescent="0.25">
      <c r="A27" s="2">
        <v>32</v>
      </c>
      <c r="B27" s="2" t="s">
        <v>20669</v>
      </c>
      <c r="C27" s="2"/>
      <c r="D27" s="2" t="s">
        <v>20670</v>
      </c>
      <c r="E27" s="2" t="s">
        <v>20671</v>
      </c>
      <c r="F27" s="2" t="s">
        <v>20672</v>
      </c>
      <c r="G27" s="2" t="s">
        <v>20673</v>
      </c>
      <c r="H27" s="2" t="s">
        <v>20674</v>
      </c>
      <c r="I27" s="2">
        <v>5</v>
      </c>
      <c r="J27" s="2" t="s">
        <v>20675</v>
      </c>
      <c r="K27" s="2"/>
      <c r="L27" s="2" t="s">
        <v>20522</v>
      </c>
      <c r="M27" s="2" t="s">
        <v>72</v>
      </c>
      <c r="N27" s="2" t="s">
        <v>20676</v>
      </c>
      <c r="O27" s="2" t="s">
        <v>816</v>
      </c>
      <c r="P27" s="2" t="s">
        <v>669</v>
      </c>
    </row>
    <row r="28" spans="1:16" ht="13.2" customHeight="1" x14ac:dyDescent="0.25">
      <c r="A28" s="2">
        <v>33</v>
      </c>
      <c r="B28" s="2" t="s">
        <v>20677</v>
      </c>
      <c r="C28" s="2"/>
      <c r="D28" s="2" t="s">
        <v>12335</v>
      </c>
      <c r="E28" s="2" t="s">
        <v>20678</v>
      </c>
      <c r="F28" s="2" t="s">
        <v>12337</v>
      </c>
      <c r="G28" s="2" t="s">
        <v>12336</v>
      </c>
      <c r="H28" s="2" t="s">
        <v>12338</v>
      </c>
      <c r="I28" s="2">
        <v>3</v>
      </c>
      <c r="J28" s="2" t="s">
        <v>20679</v>
      </c>
      <c r="K28" s="2"/>
      <c r="L28" s="2" t="s">
        <v>20522</v>
      </c>
      <c r="M28" s="2" t="s">
        <v>72</v>
      </c>
      <c r="N28" s="2" t="s">
        <v>20680</v>
      </c>
      <c r="O28" s="2" t="s">
        <v>816</v>
      </c>
      <c r="P28" s="2" t="s">
        <v>669</v>
      </c>
    </row>
    <row r="29" spans="1:16" ht="13.2" customHeight="1" x14ac:dyDescent="0.25">
      <c r="A29" s="2">
        <v>34</v>
      </c>
      <c r="B29" s="2" t="s">
        <v>20681</v>
      </c>
      <c r="C29" s="2"/>
      <c r="D29" s="2" t="s">
        <v>20682</v>
      </c>
      <c r="E29" s="2" t="s">
        <v>20683</v>
      </c>
      <c r="F29" s="2" t="s">
        <v>20684</v>
      </c>
      <c r="G29" s="2" t="s">
        <v>20685</v>
      </c>
      <c r="H29" s="2" t="s">
        <v>20686</v>
      </c>
      <c r="I29" s="2">
        <v>4</v>
      </c>
      <c r="J29" s="2" t="s">
        <v>20687</v>
      </c>
      <c r="K29" s="2"/>
      <c r="L29" s="2" t="s">
        <v>20522</v>
      </c>
      <c r="M29" s="2" t="s">
        <v>72</v>
      </c>
      <c r="N29" s="2" t="s">
        <v>885</v>
      </c>
      <c r="O29" s="2" t="s">
        <v>816</v>
      </c>
      <c r="P29" s="2" t="s">
        <v>669</v>
      </c>
    </row>
    <row r="30" spans="1:16" ht="13.2" customHeight="1" x14ac:dyDescent="0.25">
      <c r="A30" s="2">
        <v>35</v>
      </c>
      <c r="B30" s="2" t="s">
        <v>20688</v>
      </c>
      <c r="C30" s="2"/>
      <c r="D30" s="2" t="s">
        <v>4067</v>
      </c>
      <c r="E30" s="2" t="s">
        <v>4068</v>
      </c>
      <c r="F30" s="2" t="s">
        <v>20539</v>
      </c>
      <c r="G30" s="2" t="s">
        <v>20538</v>
      </c>
      <c r="H30" s="2" t="s">
        <v>2804</v>
      </c>
      <c r="I30" s="2">
        <v>1</v>
      </c>
      <c r="J30" s="2" t="s">
        <v>20689</v>
      </c>
      <c r="K30" s="2"/>
      <c r="L30" s="2" t="s">
        <v>20522</v>
      </c>
      <c r="M30" s="2" t="s">
        <v>72</v>
      </c>
      <c r="N30" s="2" t="s">
        <v>2979</v>
      </c>
      <c r="O30" s="2" t="s">
        <v>816</v>
      </c>
      <c r="P30" s="2" t="s">
        <v>669</v>
      </c>
    </row>
    <row r="31" spans="1:16" ht="13.2" customHeight="1" x14ac:dyDescent="0.25">
      <c r="A31" s="2">
        <v>36</v>
      </c>
      <c r="B31" s="2" t="s">
        <v>20690</v>
      </c>
      <c r="C31" s="2"/>
      <c r="D31" s="2" t="s">
        <v>20691</v>
      </c>
      <c r="E31" s="2" t="s">
        <v>6091</v>
      </c>
      <c r="F31" s="2" t="s">
        <v>20692</v>
      </c>
      <c r="G31" s="2" t="s">
        <v>20693</v>
      </c>
      <c r="H31" s="2" t="s">
        <v>20694</v>
      </c>
      <c r="I31" s="2">
        <v>1</v>
      </c>
      <c r="J31" s="2" t="s">
        <v>20695</v>
      </c>
      <c r="K31" s="2"/>
      <c r="L31" s="2" t="s">
        <v>20522</v>
      </c>
      <c r="M31" s="2" t="s">
        <v>72</v>
      </c>
      <c r="N31" s="2" t="s">
        <v>20696</v>
      </c>
      <c r="O31" s="2" t="s">
        <v>816</v>
      </c>
      <c r="P31" s="2" t="s">
        <v>669</v>
      </c>
    </row>
    <row r="32" spans="1:16" ht="13.2" customHeight="1" x14ac:dyDescent="0.25">
      <c r="A32" s="2">
        <v>37</v>
      </c>
      <c r="B32" s="2" t="s">
        <v>20697</v>
      </c>
      <c r="C32" s="2"/>
      <c r="D32" s="2" t="s">
        <v>12335</v>
      </c>
      <c r="E32" s="2" t="s">
        <v>20698</v>
      </c>
      <c r="F32" s="2" t="s">
        <v>12336</v>
      </c>
      <c r="G32" s="2" t="s">
        <v>12337</v>
      </c>
      <c r="H32" s="2" t="s">
        <v>20699</v>
      </c>
      <c r="I32" s="2">
        <v>1</v>
      </c>
      <c r="J32" s="2" t="s">
        <v>20700</v>
      </c>
      <c r="K32" s="2"/>
      <c r="L32" s="2" t="s">
        <v>20522</v>
      </c>
      <c r="M32" s="2" t="s">
        <v>72</v>
      </c>
      <c r="N32" s="2" t="s">
        <v>6675</v>
      </c>
      <c r="O32" s="2" t="s">
        <v>816</v>
      </c>
      <c r="P32" s="2" t="s">
        <v>669</v>
      </c>
    </row>
    <row r="33" spans="1:16" ht="13.2" customHeight="1" x14ac:dyDescent="0.25">
      <c r="A33" s="2">
        <v>38</v>
      </c>
      <c r="B33" s="2" t="s">
        <v>20701</v>
      </c>
      <c r="C33" s="2"/>
      <c r="D33" s="2" t="s">
        <v>459</v>
      </c>
      <c r="E33" s="2" t="s">
        <v>157</v>
      </c>
      <c r="F33" s="2" t="s">
        <v>958</v>
      </c>
      <c r="G33" s="2" t="s">
        <v>674</v>
      </c>
      <c r="H33" s="2" t="s">
        <v>675</v>
      </c>
      <c r="I33" s="2">
        <v>4</v>
      </c>
      <c r="J33" s="2" t="s">
        <v>20702</v>
      </c>
      <c r="K33" s="2"/>
      <c r="L33" s="2" t="s">
        <v>20522</v>
      </c>
      <c r="M33" s="2" t="s">
        <v>72</v>
      </c>
      <c r="N33" s="2" t="s">
        <v>3004</v>
      </c>
      <c r="O33" s="2" t="s">
        <v>816</v>
      </c>
      <c r="P33" s="2" t="s">
        <v>669</v>
      </c>
    </row>
    <row r="34" spans="1:16" ht="13.2" customHeight="1" x14ac:dyDescent="0.25">
      <c r="A34" s="2">
        <v>39</v>
      </c>
      <c r="B34" s="2" t="s">
        <v>20703</v>
      </c>
      <c r="C34" s="2"/>
      <c r="D34" s="2" t="s">
        <v>20704</v>
      </c>
      <c r="E34" s="2" t="s">
        <v>20705</v>
      </c>
      <c r="F34" s="2" t="s">
        <v>20706</v>
      </c>
      <c r="G34" s="2" t="s">
        <v>20707</v>
      </c>
      <c r="H34" s="2" t="s">
        <v>20708</v>
      </c>
      <c r="I34" s="2">
        <v>1</v>
      </c>
      <c r="J34" s="2" t="s">
        <v>20709</v>
      </c>
      <c r="K34" s="2"/>
      <c r="L34" s="2" t="s">
        <v>20587</v>
      </c>
      <c r="M34" s="2" t="s">
        <v>72</v>
      </c>
      <c r="N34" s="2" t="s">
        <v>3012</v>
      </c>
      <c r="O34" s="2" t="s">
        <v>816</v>
      </c>
      <c r="P34" s="2" t="s">
        <v>669</v>
      </c>
    </row>
    <row r="35" spans="1:16" ht="13.2" customHeight="1" x14ac:dyDescent="0.25">
      <c r="A35" s="2">
        <v>46</v>
      </c>
      <c r="B35" s="2" t="s">
        <v>20710</v>
      </c>
      <c r="C35" s="2"/>
      <c r="D35" s="2" t="s">
        <v>4070</v>
      </c>
      <c r="E35" s="2" t="s">
        <v>20539</v>
      </c>
      <c r="F35" s="2" t="s">
        <v>4067</v>
      </c>
      <c r="G35" s="2" t="s">
        <v>4068</v>
      </c>
      <c r="H35" s="2" t="s">
        <v>20711</v>
      </c>
      <c r="I35" s="2">
        <v>2</v>
      </c>
      <c r="J35" s="2" t="s">
        <v>20712</v>
      </c>
      <c r="K35" s="2"/>
      <c r="L35" s="2" t="s">
        <v>20522</v>
      </c>
      <c r="M35" s="2" t="s">
        <v>72</v>
      </c>
      <c r="N35" s="2" t="s">
        <v>5541</v>
      </c>
      <c r="O35" s="2" t="s">
        <v>816</v>
      </c>
      <c r="P35" s="2" t="s">
        <v>669</v>
      </c>
    </row>
    <row r="36" spans="1:16" ht="13.2" customHeight="1" x14ac:dyDescent="0.25">
      <c r="A36" s="2">
        <v>47</v>
      </c>
      <c r="B36" s="2" t="s">
        <v>20713</v>
      </c>
      <c r="C36" s="2"/>
      <c r="D36" s="2" t="s">
        <v>20714</v>
      </c>
      <c r="E36" s="2" t="s">
        <v>20715</v>
      </c>
      <c r="F36" s="2" t="s">
        <v>20716</v>
      </c>
      <c r="G36" s="2" t="s">
        <v>20717</v>
      </c>
      <c r="H36" s="2" t="s">
        <v>781</v>
      </c>
      <c r="I36" s="2">
        <v>2</v>
      </c>
      <c r="J36" s="2" t="s">
        <v>20718</v>
      </c>
      <c r="K36" s="2"/>
      <c r="L36" s="2" t="s">
        <v>20522</v>
      </c>
      <c r="M36" s="2" t="s">
        <v>72</v>
      </c>
      <c r="N36" s="2" t="s">
        <v>20719</v>
      </c>
      <c r="O36" s="2" t="s">
        <v>816</v>
      </c>
      <c r="P36" s="2" t="s">
        <v>669</v>
      </c>
    </row>
    <row r="37" spans="1:16" ht="13.2" customHeight="1" x14ac:dyDescent="0.25">
      <c r="A37" s="2">
        <v>48</v>
      </c>
      <c r="B37" s="2" t="s">
        <v>20720</v>
      </c>
      <c r="C37" s="2"/>
      <c r="D37" s="2" t="s">
        <v>20721</v>
      </c>
      <c r="E37" s="2" t="s">
        <v>20722</v>
      </c>
      <c r="F37" s="2" t="s">
        <v>20723</v>
      </c>
      <c r="G37" s="2" t="s">
        <v>20724</v>
      </c>
      <c r="H37" s="2" t="s">
        <v>20725</v>
      </c>
      <c r="I37" s="2">
        <v>3</v>
      </c>
      <c r="J37" s="2" t="s">
        <v>20726</v>
      </c>
      <c r="K37" s="2"/>
      <c r="L37" s="2" t="s">
        <v>20522</v>
      </c>
      <c r="M37" s="2" t="s">
        <v>72</v>
      </c>
      <c r="N37" s="2" t="s">
        <v>982</v>
      </c>
      <c r="O37" s="2" t="s">
        <v>816</v>
      </c>
      <c r="P37" s="2" t="s">
        <v>669</v>
      </c>
    </row>
    <row r="38" spans="1:16" ht="13.2" customHeight="1" x14ac:dyDescent="0.25">
      <c r="A38" s="2">
        <v>49</v>
      </c>
      <c r="B38" s="2" t="s">
        <v>20727</v>
      </c>
      <c r="C38" s="2"/>
      <c r="D38" s="2" t="s">
        <v>20728</v>
      </c>
      <c r="E38" s="2" t="s">
        <v>20729</v>
      </c>
      <c r="F38" s="2" t="s">
        <v>20730</v>
      </c>
      <c r="G38" s="2" t="s">
        <v>20731</v>
      </c>
      <c r="H38" s="2" t="s">
        <v>20732</v>
      </c>
      <c r="I38" s="2">
        <v>3</v>
      </c>
      <c r="J38" s="2" t="s">
        <v>20733</v>
      </c>
      <c r="K38" s="2"/>
      <c r="L38" s="2" t="s">
        <v>20522</v>
      </c>
      <c r="M38" s="2" t="s">
        <v>72</v>
      </c>
      <c r="N38" s="2" t="s">
        <v>12697</v>
      </c>
      <c r="O38" s="2" t="s">
        <v>816</v>
      </c>
      <c r="P38" s="2" t="s">
        <v>669</v>
      </c>
    </row>
    <row r="39" spans="1:16" ht="13.2" customHeight="1" x14ac:dyDescent="0.25">
      <c r="A39" s="2">
        <v>50</v>
      </c>
      <c r="B39" s="2" t="s">
        <v>20734</v>
      </c>
      <c r="C39" s="2"/>
      <c r="D39" s="2" t="s">
        <v>20735</v>
      </c>
      <c r="E39" s="2" t="s">
        <v>20736</v>
      </c>
      <c r="F39" s="2" t="s">
        <v>20737</v>
      </c>
      <c r="G39" s="2" t="s">
        <v>20738</v>
      </c>
      <c r="H39" s="2" t="s">
        <v>20739</v>
      </c>
      <c r="I39" s="2">
        <v>1</v>
      </c>
      <c r="J39" s="2" t="s">
        <v>20740</v>
      </c>
      <c r="K39" s="2"/>
      <c r="L39" s="2" t="s">
        <v>20522</v>
      </c>
      <c r="M39" s="2" t="s">
        <v>72</v>
      </c>
      <c r="N39" s="2" t="s">
        <v>20741</v>
      </c>
      <c r="O39" s="2" t="s">
        <v>816</v>
      </c>
      <c r="P39" s="2" t="s">
        <v>669</v>
      </c>
    </row>
    <row r="40" spans="1:16" ht="13.2" customHeight="1" x14ac:dyDescent="0.25">
      <c r="A40" s="2">
        <v>51</v>
      </c>
      <c r="B40" s="2" t="s">
        <v>20742</v>
      </c>
      <c r="C40" s="2"/>
      <c r="D40" s="2" t="s">
        <v>20743</v>
      </c>
      <c r="E40" s="2" t="s">
        <v>20744</v>
      </c>
      <c r="F40" s="2" t="s">
        <v>20745</v>
      </c>
      <c r="G40" s="2" t="s">
        <v>20746</v>
      </c>
      <c r="H40" s="2" t="s">
        <v>20747</v>
      </c>
      <c r="I40" s="2">
        <v>4</v>
      </c>
      <c r="J40" s="2" t="s">
        <v>20748</v>
      </c>
      <c r="K40" s="2"/>
      <c r="L40" s="2" t="s">
        <v>20522</v>
      </c>
      <c r="M40" s="2" t="s">
        <v>72</v>
      </c>
      <c r="N40" s="2" t="s">
        <v>992</v>
      </c>
      <c r="O40" s="2" t="s">
        <v>816</v>
      </c>
      <c r="P40" s="2" t="s">
        <v>669</v>
      </c>
    </row>
    <row r="41" spans="1:16" ht="13.2" customHeight="1" x14ac:dyDescent="0.25">
      <c r="A41" s="2">
        <v>53</v>
      </c>
      <c r="B41" s="2" t="s">
        <v>20749</v>
      </c>
      <c r="C41" s="2"/>
      <c r="D41" s="2" t="s">
        <v>20750</v>
      </c>
      <c r="E41" s="2" t="s">
        <v>20751</v>
      </c>
      <c r="F41" s="2" t="s">
        <v>20752</v>
      </c>
      <c r="G41" s="2" t="s">
        <v>20753</v>
      </c>
      <c r="H41" s="2" t="s">
        <v>20754</v>
      </c>
      <c r="I41" s="2">
        <v>4</v>
      </c>
      <c r="J41" s="2" t="s">
        <v>20755</v>
      </c>
      <c r="K41" s="2"/>
      <c r="L41" s="2" t="s">
        <v>20522</v>
      </c>
      <c r="M41" s="2" t="s">
        <v>72</v>
      </c>
      <c r="N41" s="2" t="s">
        <v>5585</v>
      </c>
      <c r="O41" s="2" t="s">
        <v>816</v>
      </c>
      <c r="P41" s="2" t="s">
        <v>669</v>
      </c>
    </row>
    <row r="42" spans="1:16" ht="13.2" customHeight="1" x14ac:dyDescent="0.25">
      <c r="A42" s="2">
        <v>54</v>
      </c>
      <c r="B42" s="2" t="s">
        <v>20756</v>
      </c>
      <c r="C42" s="2"/>
      <c r="D42" s="2" t="s">
        <v>20757</v>
      </c>
      <c r="E42" s="2" t="s">
        <v>20758</v>
      </c>
      <c r="F42" s="2" t="s">
        <v>3395</v>
      </c>
      <c r="G42" s="2" t="s">
        <v>5207</v>
      </c>
      <c r="H42" s="2" t="s">
        <v>20759</v>
      </c>
      <c r="I42" s="2">
        <v>5</v>
      </c>
      <c r="J42" s="2" t="s">
        <v>20760</v>
      </c>
      <c r="K42" s="2"/>
      <c r="L42" s="2" t="s">
        <v>20522</v>
      </c>
      <c r="M42" s="2" t="s">
        <v>72</v>
      </c>
      <c r="N42" s="2" t="s">
        <v>1004</v>
      </c>
      <c r="O42" s="2" t="s">
        <v>816</v>
      </c>
      <c r="P42" s="2" t="s">
        <v>669</v>
      </c>
    </row>
    <row r="43" spans="1:16" ht="13.2" customHeight="1" x14ac:dyDescent="0.25">
      <c r="A43" s="2">
        <v>57</v>
      </c>
      <c r="B43" s="2" t="s">
        <v>20761</v>
      </c>
      <c r="C43" s="2"/>
      <c r="D43" s="2" t="s">
        <v>20762</v>
      </c>
      <c r="E43" s="2" t="s">
        <v>20763</v>
      </c>
      <c r="F43" s="2" t="s">
        <v>20764</v>
      </c>
      <c r="G43" s="2" t="s">
        <v>20765</v>
      </c>
      <c r="H43" s="2" t="s">
        <v>20766</v>
      </c>
      <c r="I43" s="2">
        <v>2</v>
      </c>
      <c r="J43" s="2" t="s">
        <v>20767</v>
      </c>
      <c r="K43" s="2"/>
      <c r="L43" s="2" t="s">
        <v>20522</v>
      </c>
      <c r="M43" s="2" t="s">
        <v>72</v>
      </c>
      <c r="N43" s="2" t="s">
        <v>20768</v>
      </c>
      <c r="O43" s="2" t="s">
        <v>816</v>
      </c>
      <c r="P43" s="2" t="s">
        <v>669</v>
      </c>
    </row>
    <row r="44" spans="1:16" ht="13.2" customHeight="1" x14ac:dyDescent="0.25">
      <c r="A44" s="2">
        <v>58</v>
      </c>
      <c r="B44" s="2" t="s">
        <v>20769</v>
      </c>
      <c r="C44" s="2"/>
      <c r="D44" s="2" t="s">
        <v>20770</v>
      </c>
      <c r="E44" s="2" t="s">
        <v>20771</v>
      </c>
      <c r="F44" s="2" t="s">
        <v>20772</v>
      </c>
      <c r="G44" s="2" t="s">
        <v>20773</v>
      </c>
      <c r="H44" s="2" t="s">
        <v>20774</v>
      </c>
      <c r="I44" s="2">
        <v>5</v>
      </c>
      <c r="J44" s="2" t="s">
        <v>20775</v>
      </c>
      <c r="K44" s="2"/>
      <c r="L44" s="2" t="s">
        <v>20522</v>
      </c>
      <c r="M44" s="2" t="s">
        <v>72</v>
      </c>
      <c r="N44" s="2" t="s">
        <v>3140</v>
      </c>
      <c r="O44" s="2" t="s">
        <v>816</v>
      </c>
      <c r="P44" s="2" t="s">
        <v>669</v>
      </c>
    </row>
    <row r="45" spans="1:16" ht="13.2" customHeight="1" x14ac:dyDescent="0.25">
      <c r="A45" s="2">
        <v>60</v>
      </c>
      <c r="B45" s="2" t="s">
        <v>20776</v>
      </c>
      <c r="C45" s="2"/>
      <c r="D45" s="2" t="s">
        <v>20743</v>
      </c>
      <c r="E45" s="2" t="s">
        <v>20744</v>
      </c>
      <c r="F45" s="2" t="s">
        <v>20745</v>
      </c>
      <c r="G45" s="2" t="s">
        <v>20746</v>
      </c>
      <c r="H45" s="2" t="s">
        <v>20777</v>
      </c>
      <c r="I45" s="2">
        <v>4</v>
      </c>
      <c r="J45" s="2" t="s">
        <v>20778</v>
      </c>
      <c r="K45" s="2"/>
      <c r="L45" s="2" t="s">
        <v>20522</v>
      </c>
      <c r="M45" s="2" t="s">
        <v>72</v>
      </c>
      <c r="N45" s="2" t="s">
        <v>1042</v>
      </c>
      <c r="O45" s="2" t="s">
        <v>816</v>
      </c>
      <c r="P45" s="2" t="s">
        <v>669</v>
      </c>
    </row>
    <row r="46" spans="1:16" ht="13.2" customHeight="1" x14ac:dyDescent="0.25">
      <c r="A46" s="2">
        <v>61</v>
      </c>
      <c r="B46" s="2" t="s">
        <v>20779</v>
      </c>
      <c r="C46" s="2"/>
      <c r="D46" s="2" t="s">
        <v>20780</v>
      </c>
      <c r="E46" s="2" t="s">
        <v>20781</v>
      </c>
      <c r="F46" s="2" t="s">
        <v>20782</v>
      </c>
      <c r="G46" s="2" t="s">
        <v>20783</v>
      </c>
      <c r="H46" s="2" t="s">
        <v>20784</v>
      </c>
      <c r="I46" s="2">
        <v>4</v>
      </c>
      <c r="J46" s="2" t="s">
        <v>20785</v>
      </c>
      <c r="K46" s="2"/>
      <c r="L46" s="2" t="s">
        <v>20522</v>
      </c>
      <c r="M46" s="2" t="s">
        <v>72</v>
      </c>
      <c r="N46" s="2" t="s">
        <v>20786</v>
      </c>
      <c r="O46" s="2" t="s">
        <v>816</v>
      </c>
      <c r="P46" s="2" t="s">
        <v>669</v>
      </c>
    </row>
    <row r="47" spans="1:16" ht="13.2" customHeight="1" x14ac:dyDescent="0.25">
      <c r="A47" s="2">
        <v>62</v>
      </c>
      <c r="B47" s="2" t="s">
        <v>20787</v>
      </c>
      <c r="C47" s="2"/>
      <c r="D47" s="2" t="s">
        <v>20788</v>
      </c>
      <c r="E47" s="2" t="s">
        <v>20789</v>
      </c>
      <c r="F47" s="2" t="s">
        <v>20790</v>
      </c>
      <c r="G47" s="2" t="s">
        <v>20791</v>
      </c>
      <c r="H47" s="2" t="s">
        <v>20792</v>
      </c>
      <c r="I47" s="2">
        <v>1</v>
      </c>
      <c r="J47" s="2" t="s">
        <v>20793</v>
      </c>
      <c r="K47" s="2"/>
      <c r="L47" s="2" t="s">
        <v>20522</v>
      </c>
      <c r="M47" s="2" t="s">
        <v>72</v>
      </c>
      <c r="N47" s="2" t="s">
        <v>5649</v>
      </c>
      <c r="O47" s="2" t="s">
        <v>816</v>
      </c>
      <c r="P47" s="2" t="s">
        <v>669</v>
      </c>
    </row>
    <row r="48" spans="1:16" ht="13.2" customHeight="1" x14ac:dyDescent="0.25">
      <c r="A48" s="2">
        <v>69</v>
      </c>
      <c r="B48" s="2" t="s">
        <v>20794</v>
      </c>
      <c r="C48" s="2"/>
      <c r="D48" s="2" t="s">
        <v>20795</v>
      </c>
      <c r="E48" s="2" t="s">
        <v>20796</v>
      </c>
      <c r="F48" s="2" t="s">
        <v>20797</v>
      </c>
      <c r="G48" s="2" t="s">
        <v>20798</v>
      </c>
      <c r="H48" s="2" t="s">
        <v>20799</v>
      </c>
      <c r="I48" s="2">
        <v>5</v>
      </c>
      <c r="J48" s="2" t="s">
        <v>20800</v>
      </c>
      <c r="K48" s="2"/>
      <c r="L48" s="2" t="s">
        <v>20522</v>
      </c>
      <c r="M48" s="2" t="s">
        <v>72</v>
      </c>
      <c r="N48" s="2" t="s">
        <v>20801</v>
      </c>
      <c r="O48" s="2" t="s">
        <v>816</v>
      </c>
      <c r="P48" s="2" t="s">
        <v>669</v>
      </c>
    </row>
    <row r="49" spans="1:16" ht="13.2" customHeight="1" x14ac:dyDescent="0.25">
      <c r="A49" s="2">
        <v>70</v>
      </c>
      <c r="B49" s="2" t="s">
        <v>20802</v>
      </c>
      <c r="C49" s="2"/>
      <c r="D49" s="2" t="s">
        <v>20803</v>
      </c>
      <c r="E49" s="2" t="s">
        <v>4067</v>
      </c>
      <c r="F49" s="2" t="s">
        <v>20539</v>
      </c>
      <c r="G49" s="2" t="s">
        <v>4068</v>
      </c>
      <c r="H49" s="2" t="s">
        <v>20804</v>
      </c>
      <c r="I49" s="2">
        <v>2</v>
      </c>
      <c r="J49" s="2" t="s">
        <v>20805</v>
      </c>
      <c r="K49" s="2"/>
      <c r="L49" s="2" t="s">
        <v>20522</v>
      </c>
      <c r="M49" s="2" t="s">
        <v>72</v>
      </c>
      <c r="N49" s="2" t="s">
        <v>20806</v>
      </c>
      <c r="O49" s="2" t="s">
        <v>816</v>
      </c>
      <c r="P49" s="2" t="s">
        <v>669</v>
      </c>
    </row>
    <row r="50" spans="1:16" ht="13.2" customHeight="1" x14ac:dyDescent="0.25">
      <c r="A50" s="2">
        <v>71</v>
      </c>
      <c r="B50" s="2" t="s">
        <v>20807</v>
      </c>
      <c r="C50" s="2"/>
      <c r="D50" s="2" t="s">
        <v>20808</v>
      </c>
      <c r="E50" s="2" t="s">
        <v>20809</v>
      </c>
      <c r="F50" s="2" t="s">
        <v>20810</v>
      </c>
      <c r="G50" s="2" t="s">
        <v>20811</v>
      </c>
      <c r="H50" s="2" t="s">
        <v>20812</v>
      </c>
      <c r="I50" s="2">
        <v>2</v>
      </c>
      <c r="J50" s="2" t="s">
        <v>20813</v>
      </c>
      <c r="K50" s="2"/>
      <c r="L50" s="2" t="s">
        <v>20522</v>
      </c>
      <c r="M50" s="2" t="s">
        <v>72</v>
      </c>
      <c r="N50" s="2" t="s">
        <v>20814</v>
      </c>
      <c r="O50" s="2" t="s">
        <v>816</v>
      </c>
      <c r="P50" s="2" t="s">
        <v>669</v>
      </c>
    </row>
    <row r="51" spans="1:16" ht="13.2" customHeight="1" x14ac:dyDescent="0.25">
      <c r="A51" s="2">
        <v>72</v>
      </c>
      <c r="B51" s="2" t="s">
        <v>20815</v>
      </c>
      <c r="C51" s="2"/>
      <c r="D51" s="2" t="s">
        <v>12337</v>
      </c>
      <c r="E51" s="2" t="s">
        <v>12335</v>
      </c>
      <c r="F51" s="2" t="s">
        <v>17730</v>
      </c>
      <c r="G51" s="2" t="s">
        <v>20816</v>
      </c>
      <c r="H51" s="2" t="s">
        <v>12336</v>
      </c>
      <c r="I51" s="2">
        <v>1</v>
      </c>
      <c r="J51" s="2" t="s">
        <v>20817</v>
      </c>
      <c r="K51" s="2"/>
      <c r="L51" s="2" t="s">
        <v>20522</v>
      </c>
      <c r="M51" s="2" t="s">
        <v>72</v>
      </c>
      <c r="N51" s="2" t="s">
        <v>5725</v>
      </c>
      <c r="O51" s="2" t="s">
        <v>816</v>
      </c>
      <c r="P51" s="2" t="s">
        <v>669</v>
      </c>
    </row>
    <row r="52" spans="1:16" ht="13.2" customHeight="1" x14ac:dyDescent="0.25">
      <c r="A52" s="2">
        <v>73</v>
      </c>
      <c r="B52" s="2" t="s">
        <v>20818</v>
      </c>
      <c r="C52" s="2"/>
      <c r="D52" s="2" t="s">
        <v>20819</v>
      </c>
      <c r="E52" s="2" t="s">
        <v>20820</v>
      </c>
      <c r="F52" s="2" t="s">
        <v>20821</v>
      </c>
      <c r="G52" s="2" t="s">
        <v>20822</v>
      </c>
      <c r="H52" s="2" t="s">
        <v>20823</v>
      </c>
      <c r="I52" s="2">
        <v>5</v>
      </c>
      <c r="J52" s="2" t="s">
        <v>20824</v>
      </c>
      <c r="K52" s="2"/>
      <c r="L52" s="2" t="s">
        <v>20522</v>
      </c>
      <c r="M52" s="2" t="s">
        <v>72</v>
      </c>
      <c r="N52" s="2" t="s">
        <v>20825</v>
      </c>
      <c r="O52" s="2" t="s">
        <v>816</v>
      </c>
      <c r="P52" s="2" t="s">
        <v>669</v>
      </c>
    </row>
    <row r="53" spans="1:16" ht="13.2" customHeight="1" x14ac:dyDescent="0.25">
      <c r="A53" s="2">
        <v>74</v>
      </c>
      <c r="B53" s="2" t="s">
        <v>20826</v>
      </c>
      <c r="C53" s="2"/>
      <c r="D53" s="2" t="s">
        <v>20827</v>
      </c>
      <c r="E53" s="2" t="s">
        <v>20828</v>
      </c>
      <c r="F53" s="2" t="s">
        <v>20829</v>
      </c>
      <c r="G53" s="2" t="s">
        <v>20830</v>
      </c>
      <c r="H53" s="2" t="s">
        <v>20831</v>
      </c>
      <c r="I53" s="2">
        <v>4</v>
      </c>
      <c r="J53" s="2" t="s">
        <v>20832</v>
      </c>
      <c r="K53" s="2"/>
      <c r="L53" s="2" t="s">
        <v>20522</v>
      </c>
      <c r="M53" s="2" t="s">
        <v>72</v>
      </c>
      <c r="N53" s="2" t="s">
        <v>20833</v>
      </c>
      <c r="O53" s="2" t="s">
        <v>816</v>
      </c>
      <c r="P53" s="2" t="s">
        <v>669</v>
      </c>
    </row>
    <row r="54" spans="1:16" ht="13.2" customHeight="1" x14ac:dyDescent="0.25">
      <c r="A54" s="2">
        <v>75</v>
      </c>
      <c r="B54" s="2" t="s">
        <v>20834</v>
      </c>
      <c r="C54" s="2"/>
      <c r="D54" s="2" t="s">
        <v>20835</v>
      </c>
      <c r="E54" s="2" t="s">
        <v>20836</v>
      </c>
      <c r="F54" s="2" t="s">
        <v>20837</v>
      </c>
      <c r="G54" s="2" t="s">
        <v>20838</v>
      </c>
      <c r="H54" s="2" t="s">
        <v>20839</v>
      </c>
      <c r="I54" s="2">
        <v>3</v>
      </c>
      <c r="J54" s="2" t="s">
        <v>20840</v>
      </c>
      <c r="K54" s="2"/>
      <c r="L54" s="2" t="s">
        <v>20522</v>
      </c>
      <c r="M54" s="2" t="s">
        <v>72</v>
      </c>
      <c r="N54" s="2" t="s">
        <v>20841</v>
      </c>
      <c r="O54" s="2" t="s">
        <v>816</v>
      </c>
      <c r="P54" s="2" t="s">
        <v>669</v>
      </c>
    </row>
    <row r="55" spans="1:16" ht="13.2" customHeight="1" x14ac:dyDescent="0.25">
      <c r="A55" s="2">
        <v>76</v>
      </c>
      <c r="B55" s="2" t="s">
        <v>20842</v>
      </c>
      <c r="C55" s="2"/>
      <c r="D55" s="2" t="s">
        <v>20843</v>
      </c>
      <c r="E55" s="2" t="s">
        <v>20844</v>
      </c>
      <c r="F55" s="2" t="s">
        <v>20845</v>
      </c>
      <c r="G55" s="2" t="s">
        <v>20846</v>
      </c>
      <c r="H55" s="2" t="s">
        <v>20847</v>
      </c>
      <c r="I55" s="2">
        <v>1</v>
      </c>
      <c r="J55" s="2" t="s">
        <v>20848</v>
      </c>
      <c r="K55" s="2"/>
      <c r="L55" s="2" t="s">
        <v>20522</v>
      </c>
      <c r="M55" s="2" t="s">
        <v>72</v>
      </c>
      <c r="N55" s="2" t="s">
        <v>20849</v>
      </c>
      <c r="O55" s="2" t="s">
        <v>816</v>
      </c>
      <c r="P55" s="2" t="s">
        <v>669</v>
      </c>
    </row>
    <row r="56" spans="1:16" ht="13.2" customHeight="1" x14ac:dyDescent="0.25">
      <c r="A56" s="2">
        <v>77</v>
      </c>
      <c r="B56" s="2" t="s">
        <v>20850</v>
      </c>
      <c r="C56" s="2"/>
      <c r="D56" s="2" t="s">
        <v>20851</v>
      </c>
      <c r="E56" s="2" t="s">
        <v>4068</v>
      </c>
      <c r="F56" s="2" t="s">
        <v>4067</v>
      </c>
      <c r="G56" s="2" t="s">
        <v>20852</v>
      </c>
      <c r="H56" s="2" t="s">
        <v>5525</v>
      </c>
      <c r="I56" s="2">
        <v>3</v>
      </c>
      <c r="J56" s="2" t="s">
        <v>20853</v>
      </c>
      <c r="K56" s="2"/>
      <c r="L56" s="2" t="s">
        <v>20522</v>
      </c>
      <c r="M56" s="2" t="s">
        <v>72</v>
      </c>
      <c r="N56" s="2" t="s">
        <v>16151</v>
      </c>
      <c r="O56" s="2" t="s">
        <v>816</v>
      </c>
      <c r="P56" s="2" t="s">
        <v>669</v>
      </c>
    </row>
    <row r="57" spans="1:16" ht="13.2" customHeight="1" x14ac:dyDescent="0.25">
      <c r="A57" s="2">
        <v>78</v>
      </c>
      <c r="B57" s="2" t="s">
        <v>20854</v>
      </c>
      <c r="C57" s="2"/>
      <c r="D57" s="2" t="s">
        <v>20855</v>
      </c>
      <c r="E57" s="2" t="s">
        <v>20856</v>
      </c>
      <c r="F57" s="2" t="s">
        <v>20857</v>
      </c>
      <c r="G57" s="2" t="s">
        <v>20858</v>
      </c>
      <c r="H57" s="2" t="s">
        <v>20859</v>
      </c>
      <c r="I57" s="2">
        <v>5</v>
      </c>
      <c r="J57" s="2" t="s">
        <v>20860</v>
      </c>
      <c r="K57" s="2"/>
      <c r="L57" s="2" t="s">
        <v>20522</v>
      </c>
      <c r="M57" s="2" t="s">
        <v>72</v>
      </c>
      <c r="N57" s="2" t="s">
        <v>20861</v>
      </c>
      <c r="O57" s="2" t="s">
        <v>816</v>
      </c>
      <c r="P57" s="2" t="s">
        <v>669</v>
      </c>
    </row>
    <row r="58" spans="1:16" ht="13.2" customHeight="1" x14ac:dyDescent="0.25">
      <c r="A58" s="2">
        <v>79</v>
      </c>
      <c r="B58" s="2" t="s">
        <v>20862</v>
      </c>
      <c r="C58" s="2"/>
      <c r="D58" s="2" t="s">
        <v>20863</v>
      </c>
      <c r="E58" s="2" t="s">
        <v>20864</v>
      </c>
      <c r="F58" s="2" t="s">
        <v>20865</v>
      </c>
      <c r="G58" s="2" t="s">
        <v>20866</v>
      </c>
      <c r="H58" s="2" t="s">
        <v>20867</v>
      </c>
      <c r="I58" s="2">
        <v>1</v>
      </c>
      <c r="J58" s="2" t="s">
        <v>20868</v>
      </c>
      <c r="K58" s="2"/>
      <c r="L58" s="2" t="s">
        <v>20522</v>
      </c>
      <c r="M58" s="2" t="s">
        <v>72</v>
      </c>
      <c r="N58" s="2" t="s">
        <v>20869</v>
      </c>
      <c r="O58" s="2" t="s">
        <v>816</v>
      </c>
      <c r="P58" s="2" t="s">
        <v>669</v>
      </c>
    </row>
    <row r="59" spans="1:16" ht="13.2" customHeight="1" x14ac:dyDescent="0.25">
      <c r="A59" s="2">
        <v>80</v>
      </c>
      <c r="B59" s="2" t="s">
        <v>20870</v>
      </c>
      <c r="C59" s="2"/>
      <c r="D59" s="2" t="s">
        <v>20871</v>
      </c>
      <c r="E59" s="2" t="s">
        <v>20872</v>
      </c>
      <c r="F59" s="2" t="s">
        <v>20873</v>
      </c>
      <c r="G59" s="2" t="s">
        <v>20874</v>
      </c>
      <c r="H59" s="2" t="s">
        <v>20875</v>
      </c>
      <c r="I59" s="2">
        <v>2</v>
      </c>
      <c r="J59" s="2" t="s">
        <v>20876</v>
      </c>
      <c r="K59" s="2"/>
      <c r="L59" s="2" t="s">
        <v>20587</v>
      </c>
      <c r="M59" s="2" t="s">
        <v>72</v>
      </c>
      <c r="N59" s="2" t="s">
        <v>20877</v>
      </c>
      <c r="O59" s="2" t="s">
        <v>816</v>
      </c>
      <c r="P59" s="2" t="s">
        <v>669</v>
      </c>
    </row>
    <row r="60" spans="1:16" ht="13.2" customHeight="1" x14ac:dyDescent="0.25">
      <c r="A60" s="2">
        <v>81</v>
      </c>
      <c r="B60" s="2" t="s">
        <v>20878</v>
      </c>
      <c r="C60" s="2"/>
      <c r="D60" s="2" t="s">
        <v>20879</v>
      </c>
      <c r="E60" s="2" t="s">
        <v>20880</v>
      </c>
      <c r="F60" s="2" t="s">
        <v>20881</v>
      </c>
      <c r="G60" s="2" t="s">
        <v>20882</v>
      </c>
      <c r="H60" s="2" t="s">
        <v>20883</v>
      </c>
      <c r="I60" s="2">
        <v>1</v>
      </c>
      <c r="J60" s="2" t="s">
        <v>20884</v>
      </c>
      <c r="K60" s="2"/>
      <c r="L60" s="2" t="s">
        <v>20522</v>
      </c>
      <c r="M60" s="2" t="s">
        <v>72</v>
      </c>
      <c r="N60" s="2" t="s">
        <v>20885</v>
      </c>
      <c r="O60" s="2" t="s">
        <v>816</v>
      </c>
      <c r="P60" s="2" t="s">
        <v>669</v>
      </c>
    </row>
    <row r="61" spans="1:16" ht="13.2" customHeight="1" x14ac:dyDescent="0.25">
      <c r="A61" s="2">
        <v>82</v>
      </c>
      <c r="B61" s="2" t="s">
        <v>20886</v>
      </c>
      <c r="C61" s="2"/>
      <c r="D61" s="2" t="s">
        <v>1718</v>
      </c>
      <c r="E61" s="2" t="s">
        <v>1721</v>
      </c>
      <c r="F61" s="2" t="s">
        <v>20887</v>
      </c>
      <c r="G61" s="2" t="s">
        <v>20888</v>
      </c>
      <c r="H61" s="2" t="s">
        <v>1719</v>
      </c>
      <c r="I61" s="2">
        <v>5</v>
      </c>
      <c r="J61" s="2" t="s">
        <v>20889</v>
      </c>
      <c r="K61" s="2"/>
      <c r="L61" s="2" t="s">
        <v>20522</v>
      </c>
      <c r="M61" s="2" t="s">
        <v>72</v>
      </c>
      <c r="N61" s="2" t="s">
        <v>20890</v>
      </c>
      <c r="O61" s="2" t="s">
        <v>816</v>
      </c>
      <c r="P61" s="2" t="s">
        <v>669</v>
      </c>
    </row>
    <row r="62" spans="1:16" ht="13.2" customHeight="1" x14ac:dyDescent="0.25">
      <c r="A62" s="2">
        <v>83</v>
      </c>
      <c r="B62" s="2" t="s">
        <v>20891</v>
      </c>
      <c r="C62" s="2"/>
      <c r="D62" s="2" t="s">
        <v>623</v>
      </c>
      <c r="E62" s="2" t="s">
        <v>20892</v>
      </c>
      <c r="F62" s="2" t="s">
        <v>621</v>
      </c>
      <c r="G62" s="2" t="s">
        <v>20893</v>
      </c>
      <c r="H62" s="2" t="s">
        <v>20894</v>
      </c>
      <c r="I62" s="2">
        <v>2</v>
      </c>
      <c r="J62" s="2" t="s">
        <v>20895</v>
      </c>
      <c r="K62" s="2"/>
      <c r="L62" s="2" t="s">
        <v>20522</v>
      </c>
      <c r="M62" s="2" t="s">
        <v>72</v>
      </c>
      <c r="N62" s="2" t="s">
        <v>20896</v>
      </c>
      <c r="O62" s="2" t="s">
        <v>816</v>
      </c>
      <c r="P62" s="2" t="s">
        <v>669</v>
      </c>
    </row>
    <row r="63" spans="1:16" ht="13.2" customHeight="1" x14ac:dyDescent="0.25">
      <c r="A63" s="2">
        <v>84</v>
      </c>
      <c r="B63" s="2" t="s">
        <v>20897</v>
      </c>
      <c r="C63" s="2"/>
      <c r="D63" s="2" t="s">
        <v>20539</v>
      </c>
      <c r="E63" s="2" t="s">
        <v>20852</v>
      </c>
      <c r="F63" s="2" t="s">
        <v>4067</v>
      </c>
      <c r="G63" s="2" t="s">
        <v>4068</v>
      </c>
      <c r="H63" s="2" t="s">
        <v>5525</v>
      </c>
      <c r="I63" s="2">
        <v>2</v>
      </c>
      <c r="J63" s="2" t="s">
        <v>20898</v>
      </c>
      <c r="K63" s="2"/>
      <c r="L63" s="2" t="s">
        <v>20522</v>
      </c>
      <c r="M63" s="2" t="s">
        <v>72</v>
      </c>
      <c r="N63" s="2" t="s">
        <v>20899</v>
      </c>
      <c r="O63" s="2" t="s">
        <v>816</v>
      </c>
      <c r="P63" s="2" t="s">
        <v>669</v>
      </c>
    </row>
    <row r="64" spans="1:16" ht="13.2" customHeight="1" x14ac:dyDescent="0.25">
      <c r="A64" s="2">
        <v>85</v>
      </c>
      <c r="B64" s="2" t="s">
        <v>20900</v>
      </c>
      <c r="C64" s="2"/>
      <c r="D64" s="2" t="s">
        <v>20901</v>
      </c>
      <c r="E64" s="2" t="s">
        <v>20902</v>
      </c>
      <c r="F64" s="2" t="s">
        <v>20903</v>
      </c>
      <c r="G64" s="2" t="s">
        <v>20904</v>
      </c>
      <c r="H64" s="2" t="s">
        <v>20905</v>
      </c>
      <c r="I64" s="2">
        <v>4</v>
      </c>
      <c r="J64" s="2" t="s">
        <v>20906</v>
      </c>
      <c r="K64" s="2"/>
      <c r="L64" s="2" t="s">
        <v>20522</v>
      </c>
      <c r="M64" s="2" t="s">
        <v>72</v>
      </c>
      <c r="N64" s="2" t="s">
        <v>20907</v>
      </c>
      <c r="O64" s="2" t="s">
        <v>816</v>
      </c>
      <c r="P64" s="2" t="s">
        <v>669</v>
      </c>
    </row>
    <row r="65" spans="1:16" ht="13.2" customHeight="1" x14ac:dyDescent="0.25">
      <c r="A65" s="2">
        <v>86</v>
      </c>
      <c r="B65" s="2" t="s">
        <v>20908</v>
      </c>
      <c r="C65" s="2"/>
      <c r="D65" s="2" t="s">
        <v>20909</v>
      </c>
      <c r="E65" s="2" t="s">
        <v>4068</v>
      </c>
      <c r="F65" s="2" t="s">
        <v>20539</v>
      </c>
      <c r="G65" s="2" t="s">
        <v>4067</v>
      </c>
      <c r="H65" s="2" t="s">
        <v>20910</v>
      </c>
      <c r="I65" s="2">
        <v>2</v>
      </c>
      <c r="J65" s="2" t="s">
        <v>20911</v>
      </c>
      <c r="K65" s="2"/>
      <c r="L65" s="2" t="s">
        <v>20522</v>
      </c>
      <c r="M65" s="2" t="s">
        <v>72</v>
      </c>
      <c r="N65" s="2" t="s">
        <v>20912</v>
      </c>
      <c r="O65" s="2" t="s">
        <v>816</v>
      </c>
      <c r="P65" s="2" t="s">
        <v>669</v>
      </c>
    </row>
    <row r="66" spans="1:16" ht="13.2" customHeight="1" x14ac:dyDescent="0.25">
      <c r="A66" s="2">
        <v>87</v>
      </c>
      <c r="B66" s="2" t="s">
        <v>20913</v>
      </c>
      <c r="C66" s="2"/>
      <c r="D66" s="2" t="s">
        <v>20914</v>
      </c>
      <c r="E66" s="2" t="s">
        <v>20915</v>
      </c>
      <c r="F66" s="2" t="s">
        <v>20916</v>
      </c>
      <c r="G66" s="2" t="s">
        <v>20917</v>
      </c>
      <c r="H66" s="2" t="s">
        <v>20918</v>
      </c>
      <c r="I66" s="2">
        <v>4</v>
      </c>
      <c r="J66" s="2" t="s">
        <v>20919</v>
      </c>
      <c r="K66" s="2"/>
      <c r="L66" s="2" t="s">
        <v>20522</v>
      </c>
      <c r="M66" s="2" t="s">
        <v>72</v>
      </c>
      <c r="N66" s="2" t="s">
        <v>20920</v>
      </c>
      <c r="O66" s="2" t="s">
        <v>816</v>
      </c>
      <c r="P66" s="2" t="s">
        <v>669</v>
      </c>
    </row>
    <row r="67" spans="1:16" ht="13.2" customHeight="1" x14ac:dyDescent="0.25">
      <c r="A67" s="2">
        <v>88</v>
      </c>
      <c r="B67" s="2" t="s">
        <v>20921</v>
      </c>
      <c r="C67" s="2"/>
      <c r="D67" s="2" t="s">
        <v>20922</v>
      </c>
      <c r="E67" s="2" t="s">
        <v>20923</v>
      </c>
      <c r="F67" s="2" t="s">
        <v>20924</v>
      </c>
      <c r="G67" s="2" t="s">
        <v>20925</v>
      </c>
      <c r="H67" s="2" t="s">
        <v>20926</v>
      </c>
      <c r="I67" s="2">
        <v>1</v>
      </c>
      <c r="J67" s="2" t="s">
        <v>20927</v>
      </c>
      <c r="K67" s="2"/>
      <c r="L67" s="2" t="s">
        <v>20522</v>
      </c>
      <c r="M67" s="2" t="s">
        <v>72</v>
      </c>
      <c r="N67" s="2" t="s">
        <v>20928</v>
      </c>
      <c r="O67" s="2" t="s">
        <v>816</v>
      </c>
      <c r="P67" s="2" t="s">
        <v>669</v>
      </c>
    </row>
    <row r="68" spans="1:16" ht="13.2" customHeight="1" x14ac:dyDescent="0.25">
      <c r="A68" s="2">
        <v>95</v>
      </c>
      <c r="B68" s="2" t="s">
        <v>20929</v>
      </c>
      <c r="C68" s="2"/>
      <c r="D68" s="2" t="s">
        <v>20930</v>
      </c>
      <c r="E68" s="2" t="s">
        <v>20931</v>
      </c>
      <c r="F68" s="2" t="s">
        <v>20932</v>
      </c>
      <c r="G68" s="2" t="s">
        <v>20933</v>
      </c>
      <c r="H68" s="2" t="s">
        <v>20934</v>
      </c>
      <c r="I68" s="2">
        <v>3</v>
      </c>
      <c r="J68" s="2" t="s">
        <v>20935</v>
      </c>
      <c r="K68" s="2"/>
      <c r="L68" s="2" t="s">
        <v>20522</v>
      </c>
      <c r="M68" s="2" t="s">
        <v>72</v>
      </c>
      <c r="N68" s="2" t="s">
        <v>20936</v>
      </c>
      <c r="O68" s="2" t="s">
        <v>816</v>
      </c>
      <c r="P68" s="2" t="s">
        <v>669</v>
      </c>
    </row>
    <row r="69" spans="1:16" ht="13.2" customHeight="1" x14ac:dyDescent="0.25">
      <c r="A69" s="2">
        <v>96</v>
      </c>
      <c r="B69" s="2" t="s">
        <v>20937</v>
      </c>
      <c r="C69" s="2"/>
      <c r="D69" s="2" t="s">
        <v>20938</v>
      </c>
      <c r="E69" s="2" t="s">
        <v>20939</v>
      </c>
      <c r="F69" s="2" t="s">
        <v>20940</v>
      </c>
      <c r="G69" s="2" t="s">
        <v>20941</v>
      </c>
      <c r="H69" s="2" t="s">
        <v>20942</v>
      </c>
      <c r="I69" s="2">
        <v>5</v>
      </c>
      <c r="J69" s="2" t="s">
        <v>20943</v>
      </c>
      <c r="K69" s="2"/>
      <c r="L69" s="2" t="s">
        <v>20522</v>
      </c>
      <c r="M69" s="2" t="s">
        <v>72</v>
      </c>
      <c r="N69" s="2" t="s">
        <v>20944</v>
      </c>
      <c r="O69" s="2" t="s">
        <v>816</v>
      </c>
      <c r="P69" s="2" t="s">
        <v>669</v>
      </c>
    </row>
    <row r="70" spans="1:16" ht="13.2" customHeight="1" x14ac:dyDescent="0.25">
      <c r="A70" s="2">
        <v>97</v>
      </c>
      <c r="B70" s="2" t="s">
        <v>20945</v>
      </c>
      <c r="C70" s="2"/>
      <c r="D70" s="2" t="s">
        <v>12335</v>
      </c>
      <c r="E70" s="2" t="s">
        <v>20946</v>
      </c>
      <c r="F70" s="2" t="s">
        <v>12337</v>
      </c>
      <c r="G70" s="2" t="s">
        <v>4067</v>
      </c>
      <c r="H70" s="2" t="s">
        <v>20947</v>
      </c>
      <c r="I70" s="2">
        <v>1</v>
      </c>
      <c r="J70" s="2" t="s">
        <v>20948</v>
      </c>
      <c r="K70" s="2"/>
      <c r="L70" s="2" t="s">
        <v>20522</v>
      </c>
      <c r="M70" s="2" t="s">
        <v>72</v>
      </c>
      <c r="N70" s="2" t="s">
        <v>20949</v>
      </c>
      <c r="O70" s="2" t="s">
        <v>816</v>
      </c>
      <c r="P70" s="2" t="s">
        <v>669</v>
      </c>
    </row>
    <row r="71" spans="1:16" ht="13.2" customHeight="1" x14ac:dyDescent="0.25">
      <c r="A71" s="2">
        <v>98</v>
      </c>
      <c r="B71" s="2" t="s">
        <v>20950</v>
      </c>
      <c r="C71" s="2"/>
      <c r="D71" s="2" t="s">
        <v>20951</v>
      </c>
      <c r="E71" s="2" t="s">
        <v>20952</v>
      </c>
      <c r="F71" s="2" t="s">
        <v>20953</v>
      </c>
      <c r="G71" s="2" t="s">
        <v>20954</v>
      </c>
      <c r="H71" s="2" t="s">
        <v>20955</v>
      </c>
      <c r="I71" s="2">
        <v>4</v>
      </c>
      <c r="J71" s="2" t="s">
        <v>20956</v>
      </c>
      <c r="K71" s="2"/>
      <c r="L71" s="2" t="s">
        <v>20522</v>
      </c>
      <c r="M71" s="2" t="s">
        <v>72</v>
      </c>
      <c r="N71" s="2" t="s">
        <v>20957</v>
      </c>
      <c r="O71" s="2" t="s">
        <v>816</v>
      </c>
      <c r="P71" s="2" t="s">
        <v>669</v>
      </c>
    </row>
    <row r="72" spans="1:16" ht="13.2" customHeight="1" x14ac:dyDescent="0.25">
      <c r="A72" s="2">
        <v>99</v>
      </c>
      <c r="B72" s="2" t="s">
        <v>20958</v>
      </c>
      <c r="C72" s="2"/>
      <c r="D72" s="2" t="s">
        <v>20959</v>
      </c>
      <c r="E72" s="2" t="s">
        <v>20960</v>
      </c>
      <c r="F72" s="2" t="s">
        <v>20961</v>
      </c>
      <c r="G72" s="2" t="s">
        <v>20962</v>
      </c>
      <c r="H72" s="2" t="s">
        <v>20963</v>
      </c>
      <c r="I72" s="2">
        <v>4</v>
      </c>
      <c r="J72" s="2" t="s">
        <v>20964</v>
      </c>
      <c r="K72" s="2"/>
      <c r="L72" s="2" t="s">
        <v>20522</v>
      </c>
      <c r="M72" s="2" t="s">
        <v>72</v>
      </c>
      <c r="N72" s="2" t="s">
        <v>20965</v>
      </c>
      <c r="O72" s="2" t="s">
        <v>816</v>
      </c>
      <c r="P72" s="2" t="s">
        <v>669</v>
      </c>
    </row>
    <row r="73" spans="1:16" ht="13.2" customHeight="1" x14ac:dyDescent="0.25">
      <c r="A73" s="2">
        <v>100</v>
      </c>
      <c r="B73" s="2" t="s">
        <v>20966</v>
      </c>
      <c r="C73" s="2"/>
      <c r="D73" s="2" t="s">
        <v>20967</v>
      </c>
      <c r="E73" s="2" t="s">
        <v>4161</v>
      </c>
      <c r="F73" s="2" t="s">
        <v>20612</v>
      </c>
      <c r="G73" s="2" t="s">
        <v>20968</v>
      </c>
      <c r="H73" s="2" t="s">
        <v>799</v>
      </c>
      <c r="I73" s="2">
        <v>4</v>
      </c>
      <c r="J73" s="2" t="s">
        <v>20969</v>
      </c>
      <c r="K73" s="2"/>
      <c r="L73" s="2" t="s">
        <v>20522</v>
      </c>
      <c r="M73" s="2" t="s">
        <v>72</v>
      </c>
      <c r="N73" s="2" t="s">
        <v>20970</v>
      </c>
      <c r="O73" s="2" t="s">
        <v>816</v>
      </c>
      <c r="P73" s="2" t="s">
        <v>669</v>
      </c>
    </row>
    <row r="74" spans="1:16" ht="13.2" customHeight="1" x14ac:dyDescent="0.25">
      <c r="A74" s="2">
        <v>101</v>
      </c>
      <c r="B74" s="2" t="s">
        <v>20971</v>
      </c>
      <c r="C74" s="2"/>
      <c r="D74" s="2" t="s">
        <v>818</v>
      </c>
      <c r="E74" s="2" t="s">
        <v>819</v>
      </c>
      <c r="F74" s="2" t="s">
        <v>820</v>
      </c>
      <c r="G74" s="2" t="s">
        <v>821</v>
      </c>
      <c r="H74" s="2" t="s">
        <v>822</v>
      </c>
      <c r="I74" s="2">
        <v>4</v>
      </c>
      <c r="J74" s="2" t="s">
        <v>20972</v>
      </c>
      <c r="K74" s="2"/>
      <c r="L74" s="2" t="s">
        <v>20522</v>
      </c>
      <c r="M74" s="2" t="s">
        <v>72</v>
      </c>
      <c r="N74" s="2" t="s">
        <v>20973</v>
      </c>
      <c r="O74" s="2" t="s">
        <v>816</v>
      </c>
      <c r="P74" s="2" t="s">
        <v>669</v>
      </c>
    </row>
    <row r="75" spans="1:16" ht="13.2" customHeight="1" x14ac:dyDescent="0.25">
      <c r="A75" s="2">
        <v>104</v>
      </c>
      <c r="B75" s="2" t="s">
        <v>20974</v>
      </c>
      <c r="C75" s="2"/>
      <c r="D75" s="2" t="s">
        <v>20975</v>
      </c>
      <c r="E75" s="2" t="s">
        <v>20976</v>
      </c>
      <c r="F75" s="2" t="s">
        <v>20977</v>
      </c>
      <c r="G75" s="2" t="s">
        <v>20978</v>
      </c>
      <c r="H75" s="2" t="s">
        <v>20979</v>
      </c>
      <c r="I75" s="2">
        <v>3</v>
      </c>
      <c r="J75" s="2" t="s">
        <v>20980</v>
      </c>
      <c r="K75" s="2"/>
      <c r="L75" s="2" t="s">
        <v>20522</v>
      </c>
      <c r="M75" s="2" t="s">
        <v>72</v>
      </c>
      <c r="N75" s="2" t="s">
        <v>20981</v>
      </c>
      <c r="O75" s="2" t="s">
        <v>816</v>
      </c>
      <c r="P75" s="2" t="s">
        <v>669</v>
      </c>
    </row>
    <row r="76" spans="1:16" ht="13.2" customHeight="1" x14ac:dyDescent="0.25">
      <c r="A76" s="2">
        <v>107</v>
      </c>
      <c r="B76" s="2" t="s">
        <v>20982</v>
      </c>
      <c r="C76" s="2"/>
      <c r="D76" s="2" t="s">
        <v>20983</v>
      </c>
      <c r="E76" s="2" t="s">
        <v>20984</v>
      </c>
      <c r="F76" s="2" t="s">
        <v>20985</v>
      </c>
      <c r="G76" s="2" t="s">
        <v>20986</v>
      </c>
      <c r="H76" s="2" t="s">
        <v>20987</v>
      </c>
      <c r="I76" s="2">
        <v>5</v>
      </c>
      <c r="J76" s="2" t="s">
        <v>20988</v>
      </c>
      <c r="K76" s="2"/>
      <c r="L76" s="2" t="s">
        <v>20522</v>
      </c>
      <c r="M76" s="2" t="s">
        <v>72</v>
      </c>
      <c r="N76" s="2" t="s">
        <v>20989</v>
      </c>
      <c r="O76" s="2" t="s">
        <v>816</v>
      </c>
      <c r="P76" s="2" t="s">
        <v>669</v>
      </c>
    </row>
    <row r="77" spans="1:16" ht="13.2" customHeight="1" x14ac:dyDescent="0.25">
      <c r="A77" s="2">
        <v>108</v>
      </c>
      <c r="B77" s="2" t="s">
        <v>20990</v>
      </c>
      <c r="C77" s="2"/>
      <c r="D77" s="2" t="s">
        <v>12335</v>
      </c>
      <c r="E77" s="2" t="s">
        <v>20946</v>
      </c>
      <c r="F77" s="2" t="s">
        <v>12337</v>
      </c>
      <c r="G77" s="2" t="s">
        <v>20991</v>
      </c>
      <c r="H77" s="2" t="s">
        <v>12336</v>
      </c>
      <c r="I77" s="2">
        <v>1</v>
      </c>
      <c r="J77" s="2" t="s">
        <v>20992</v>
      </c>
      <c r="K77" s="2"/>
      <c r="L77" s="2" t="s">
        <v>20522</v>
      </c>
      <c r="M77" s="2" t="s">
        <v>72</v>
      </c>
      <c r="N77" s="2" t="s">
        <v>20993</v>
      </c>
      <c r="O77" s="2" t="s">
        <v>816</v>
      </c>
      <c r="P77" s="2" t="s">
        <v>669</v>
      </c>
    </row>
    <row r="78" spans="1:16" ht="13.2" customHeight="1" x14ac:dyDescent="0.25">
      <c r="A78" s="2">
        <v>109</v>
      </c>
      <c r="B78" s="2" t="s">
        <v>20994</v>
      </c>
      <c r="C78" s="2"/>
      <c r="D78" s="2" t="s">
        <v>20995</v>
      </c>
      <c r="E78" s="2" t="s">
        <v>20996</v>
      </c>
      <c r="F78" s="2" t="s">
        <v>20997</v>
      </c>
      <c r="G78" s="2" t="s">
        <v>20998</v>
      </c>
      <c r="H78" s="2" t="s">
        <v>20999</v>
      </c>
      <c r="I78" s="2">
        <v>2</v>
      </c>
      <c r="J78" s="2" t="s">
        <v>21000</v>
      </c>
      <c r="K78" s="2"/>
      <c r="L78" s="2" t="s">
        <v>20522</v>
      </c>
      <c r="M78" s="2" t="s">
        <v>72</v>
      </c>
      <c r="N78" s="2" t="s">
        <v>21001</v>
      </c>
      <c r="O78" s="2" t="s">
        <v>816</v>
      </c>
      <c r="P78" s="2" t="s">
        <v>669</v>
      </c>
    </row>
    <row r="79" spans="1:16" ht="13.2" customHeight="1" x14ac:dyDescent="0.25">
      <c r="A79" s="2">
        <v>110</v>
      </c>
      <c r="B79" s="2" t="s">
        <v>21002</v>
      </c>
      <c r="C79" s="2"/>
      <c r="D79" s="2" t="s">
        <v>21003</v>
      </c>
      <c r="E79" s="2" t="s">
        <v>21004</v>
      </c>
      <c r="F79" s="2" t="s">
        <v>21005</v>
      </c>
      <c r="G79" s="2" t="s">
        <v>21006</v>
      </c>
      <c r="H79" s="2" t="s">
        <v>799</v>
      </c>
      <c r="I79" s="2">
        <v>1</v>
      </c>
      <c r="J79" s="2" t="s">
        <v>21007</v>
      </c>
      <c r="K79" s="2"/>
      <c r="L79" s="2" t="s">
        <v>20522</v>
      </c>
      <c r="M79" s="2" t="s">
        <v>72</v>
      </c>
      <c r="N79" s="2" t="s">
        <v>21008</v>
      </c>
      <c r="O79" s="2" t="s">
        <v>816</v>
      </c>
      <c r="P79" s="2" t="s">
        <v>669</v>
      </c>
    </row>
    <row r="80" spans="1:16" ht="13.2" customHeight="1" x14ac:dyDescent="0.25">
      <c r="A80" s="2">
        <v>111</v>
      </c>
      <c r="B80" s="2" t="s">
        <v>21009</v>
      </c>
      <c r="C80" s="2"/>
      <c r="D80" s="2" t="s">
        <v>21010</v>
      </c>
      <c r="E80" s="2" t="s">
        <v>21011</v>
      </c>
      <c r="F80" s="2" t="s">
        <v>21012</v>
      </c>
      <c r="G80" s="2" t="s">
        <v>21013</v>
      </c>
      <c r="H80" s="2" t="s">
        <v>781</v>
      </c>
      <c r="I80" s="2">
        <v>2</v>
      </c>
      <c r="J80" s="2" t="s">
        <v>21014</v>
      </c>
      <c r="K80" s="2"/>
      <c r="L80" s="2" t="s">
        <v>20587</v>
      </c>
      <c r="M80" s="2" t="s">
        <v>72</v>
      </c>
      <c r="N80" s="2" t="s">
        <v>21015</v>
      </c>
      <c r="O80" s="2" t="s">
        <v>816</v>
      </c>
      <c r="P80" s="2" t="s">
        <v>669</v>
      </c>
    </row>
    <row r="81" spans="1:16" ht="13.2" customHeight="1" x14ac:dyDescent="0.25">
      <c r="A81" s="2">
        <v>112</v>
      </c>
      <c r="B81" s="2" t="s">
        <v>20636</v>
      </c>
      <c r="C81" s="2"/>
      <c r="D81" s="2" t="s">
        <v>20871</v>
      </c>
      <c r="E81" s="2" t="s">
        <v>21016</v>
      </c>
      <c r="F81" s="2" t="s">
        <v>20873</v>
      </c>
      <c r="G81" s="2" t="s">
        <v>21017</v>
      </c>
      <c r="H81" s="2" t="s">
        <v>20875</v>
      </c>
      <c r="I81" s="2">
        <v>1</v>
      </c>
      <c r="J81" s="2" t="s">
        <v>21018</v>
      </c>
      <c r="K81" s="2"/>
      <c r="L81" s="2" t="s">
        <v>20522</v>
      </c>
      <c r="M81" s="2" t="s">
        <v>72</v>
      </c>
      <c r="N81" s="2" t="s">
        <v>21019</v>
      </c>
      <c r="O81" s="2" t="s">
        <v>816</v>
      </c>
      <c r="P81" s="2" t="s">
        <v>669</v>
      </c>
    </row>
    <row r="82" spans="1:16" ht="13.2" customHeight="1" x14ac:dyDescent="0.25">
      <c r="A82" s="2">
        <v>113</v>
      </c>
      <c r="B82" s="2" t="s">
        <v>21020</v>
      </c>
      <c r="C82" s="2"/>
      <c r="D82" s="2" t="s">
        <v>4067</v>
      </c>
      <c r="E82" s="2" t="s">
        <v>21021</v>
      </c>
      <c r="F82" s="2" t="s">
        <v>20627</v>
      </c>
      <c r="G82" s="2" t="s">
        <v>21022</v>
      </c>
      <c r="H82" s="2" t="s">
        <v>4068</v>
      </c>
      <c r="I82" s="2">
        <v>5</v>
      </c>
      <c r="J82" s="2" t="s">
        <v>21023</v>
      </c>
      <c r="K82" s="2"/>
      <c r="L82" s="2" t="s">
        <v>20522</v>
      </c>
      <c r="M82" s="2" t="s">
        <v>72</v>
      </c>
      <c r="N82" s="2" t="s">
        <v>21024</v>
      </c>
      <c r="O82" s="2" t="s">
        <v>816</v>
      </c>
      <c r="P82" s="2" t="s">
        <v>669</v>
      </c>
    </row>
    <row r="83" spans="1:16" ht="13.2" customHeight="1" x14ac:dyDescent="0.25">
      <c r="A83" s="2">
        <v>114</v>
      </c>
      <c r="B83" s="2" t="s">
        <v>21025</v>
      </c>
      <c r="C83" s="2"/>
      <c r="D83" s="2" t="s">
        <v>4067</v>
      </c>
      <c r="E83" s="2" t="s">
        <v>21021</v>
      </c>
      <c r="F83" s="2" t="s">
        <v>20627</v>
      </c>
      <c r="G83" s="2" t="s">
        <v>21022</v>
      </c>
      <c r="H83" s="2" t="s">
        <v>4068</v>
      </c>
      <c r="I83" s="2">
        <v>1</v>
      </c>
      <c r="J83" s="2" t="s">
        <v>21026</v>
      </c>
      <c r="K83" s="2"/>
      <c r="L83" s="2" t="s">
        <v>20522</v>
      </c>
      <c r="M83" s="2" t="s">
        <v>72</v>
      </c>
      <c r="N83" s="2" t="s">
        <v>21027</v>
      </c>
      <c r="O83" s="2" t="s">
        <v>816</v>
      </c>
      <c r="P83" s="2" t="s">
        <v>669</v>
      </c>
    </row>
    <row r="84" spans="1:16" ht="13.2" customHeight="1" x14ac:dyDescent="0.25">
      <c r="A84" s="2">
        <v>115</v>
      </c>
      <c r="B84" s="2" t="s">
        <v>21028</v>
      </c>
      <c r="C84" s="2"/>
      <c r="D84" s="2" t="s">
        <v>21029</v>
      </c>
      <c r="E84" s="2" t="s">
        <v>21030</v>
      </c>
      <c r="F84" s="2" t="s">
        <v>21031</v>
      </c>
      <c r="G84" s="2" t="s">
        <v>21032</v>
      </c>
      <c r="H84" s="2" t="s">
        <v>21033</v>
      </c>
      <c r="I84" s="2">
        <v>5</v>
      </c>
      <c r="J84" s="2" t="s">
        <v>21034</v>
      </c>
      <c r="K84" s="2"/>
      <c r="L84" s="2" t="s">
        <v>20522</v>
      </c>
      <c r="M84" s="2" t="s">
        <v>72</v>
      </c>
      <c r="N84" s="2" t="s">
        <v>21035</v>
      </c>
      <c r="O84" s="2" t="s">
        <v>816</v>
      </c>
      <c r="P84" s="2" t="s">
        <v>669</v>
      </c>
    </row>
    <row r="85" spans="1:16" ht="13.2" customHeight="1" x14ac:dyDescent="0.25">
      <c r="A85" s="2">
        <v>116</v>
      </c>
      <c r="B85" s="2" t="s">
        <v>3071</v>
      </c>
      <c r="C85" s="2"/>
      <c r="D85" s="2" t="s">
        <v>21036</v>
      </c>
      <c r="E85" s="2" t="s">
        <v>21037</v>
      </c>
      <c r="F85" s="2" t="s">
        <v>21038</v>
      </c>
      <c r="G85" s="2" t="s">
        <v>21039</v>
      </c>
      <c r="H85" s="2" t="s">
        <v>21040</v>
      </c>
      <c r="I85" s="2">
        <v>2</v>
      </c>
      <c r="J85" s="2" t="s">
        <v>21041</v>
      </c>
      <c r="K85" s="2"/>
      <c r="L85" s="2" t="s">
        <v>20522</v>
      </c>
      <c r="M85" s="2" t="s">
        <v>72</v>
      </c>
      <c r="N85" s="2" t="s">
        <v>21042</v>
      </c>
      <c r="O85" s="2" t="s">
        <v>816</v>
      </c>
      <c r="P85" s="2" t="s">
        <v>669</v>
      </c>
    </row>
    <row r="86" spans="1:16" ht="13.2" customHeight="1" x14ac:dyDescent="0.25">
      <c r="A86" s="2">
        <v>117</v>
      </c>
      <c r="B86" s="2" t="s">
        <v>21043</v>
      </c>
      <c r="C86" s="2"/>
      <c r="D86" s="2" t="s">
        <v>21044</v>
      </c>
      <c r="E86" s="2" t="s">
        <v>21045</v>
      </c>
      <c r="F86" s="2" t="s">
        <v>21046</v>
      </c>
      <c r="G86" s="2" t="s">
        <v>21047</v>
      </c>
      <c r="H86" s="2" t="s">
        <v>21048</v>
      </c>
      <c r="I86" s="2">
        <v>2</v>
      </c>
      <c r="J86" s="2" t="s">
        <v>21049</v>
      </c>
      <c r="K86" s="2"/>
      <c r="L86" s="2" t="s">
        <v>20522</v>
      </c>
      <c r="M86" s="2" t="s">
        <v>72</v>
      </c>
      <c r="N86" s="2" t="s">
        <v>21050</v>
      </c>
      <c r="O86" s="2" t="s">
        <v>816</v>
      </c>
      <c r="P86" s="2" t="s">
        <v>669</v>
      </c>
    </row>
    <row r="87" spans="1:16" ht="13.2" customHeight="1" x14ac:dyDescent="0.25">
      <c r="A87" s="2">
        <v>118</v>
      </c>
      <c r="B87" s="2" t="s">
        <v>21051</v>
      </c>
      <c r="C87" s="2"/>
      <c r="D87" s="2" t="s">
        <v>21052</v>
      </c>
      <c r="E87" s="2" t="s">
        <v>21053</v>
      </c>
      <c r="F87" s="2" t="s">
        <v>21054</v>
      </c>
      <c r="G87" s="2" t="s">
        <v>21055</v>
      </c>
      <c r="H87" s="2" t="s">
        <v>21056</v>
      </c>
      <c r="I87" s="2">
        <v>4</v>
      </c>
      <c r="J87" s="2" t="s">
        <v>21057</v>
      </c>
      <c r="K87" s="2"/>
      <c r="L87" s="2" t="s">
        <v>21058</v>
      </c>
      <c r="M87" s="2" t="s">
        <v>72</v>
      </c>
      <c r="N87" s="2" t="s">
        <v>21059</v>
      </c>
      <c r="O87" s="2" t="s">
        <v>816</v>
      </c>
      <c r="P87" s="2" t="s">
        <v>669</v>
      </c>
    </row>
    <row r="88" spans="1:16" ht="13.2" customHeight="1" x14ac:dyDescent="0.25">
      <c r="A88" s="2">
        <v>119</v>
      </c>
      <c r="B88" s="2" t="s">
        <v>21060</v>
      </c>
      <c r="C88" s="2"/>
      <c r="D88" s="2" t="s">
        <v>21061</v>
      </c>
      <c r="E88" s="2" t="s">
        <v>21062</v>
      </c>
      <c r="F88" s="2" t="s">
        <v>21063</v>
      </c>
      <c r="G88" s="2" t="s">
        <v>21064</v>
      </c>
      <c r="H88" s="2" t="s">
        <v>21065</v>
      </c>
      <c r="I88" s="2">
        <v>4</v>
      </c>
      <c r="J88" s="2" t="s">
        <v>21066</v>
      </c>
      <c r="K88" s="2"/>
      <c r="L88" s="2" t="s">
        <v>20522</v>
      </c>
      <c r="M88" s="2" t="s">
        <v>72</v>
      </c>
      <c r="N88" s="2" t="s">
        <v>21067</v>
      </c>
      <c r="O88" s="2" t="s">
        <v>816</v>
      </c>
      <c r="P88" s="2" t="s">
        <v>669</v>
      </c>
    </row>
    <row r="89" spans="1:16" ht="13.2" customHeight="1" x14ac:dyDescent="0.25">
      <c r="A89" s="2">
        <v>120</v>
      </c>
      <c r="B89" s="2" t="s">
        <v>21068</v>
      </c>
      <c r="C89" s="2"/>
      <c r="D89" s="2" t="s">
        <v>21069</v>
      </c>
      <c r="E89" s="2" t="s">
        <v>20539</v>
      </c>
      <c r="F89" s="2" t="s">
        <v>20711</v>
      </c>
      <c r="G89" s="2" t="s">
        <v>12335</v>
      </c>
      <c r="H89" s="2" t="s">
        <v>21070</v>
      </c>
      <c r="I89" s="2">
        <v>1</v>
      </c>
      <c r="J89" s="2" t="s">
        <v>21071</v>
      </c>
      <c r="K89" s="2"/>
      <c r="L89" s="2" t="s">
        <v>20579</v>
      </c>
      <c r="M89" s="2" t="s">
        <v>72</v>
      </c>
      <c r="N89" s="2" t="s">
        <v>21072</v>
      </c>
      <c r="O89" s="2" t="s">
        <v>816</v>
      </c>
      <c r="P89" s="2" t="s">
        <v>669</v>
      </c>
    </row>
    <row r="90" spans="1:16" ht="13.2" customHeight="1" x14ac:dyDescent="0.25">
      <c r="A90" s="2">
        <v>121</v>
      </c>
      <c r="B90" s="2" t="s">
        <v>21073</v>
      </c>
      <c r="C90" s="2"/>
      <c r="D90" s="2" t="s">
        <v>21074</v>
      </c>
      <c r="E90" s="2" t="s">
        <v>20610</v>
      </c>
      <c r="F90" s="2" t="s">
        <v>20609</v>
      </c>
      <c r="G90" s="2" t="s">
        <v>4161</v>
      </c>
      <c r="H90" s="2" t="s">
        <v>20612</v>
      </c>
      <c r="I90" s="2">
        <v>2</v>
      </c>
      <c r="J90" s="2" t="s">
        <v>21075</v>
      </c>
      <c r="K90" s="2"/>
      <c r="L90" s="2" t="s">
        <v>20522</v>
      </c>
      <c r="M90" s="2" t="s">
        <v>72</v>
      </c>
      <c r="N90" s="2" t="s">
        <v>21076</v>
      </c>
      <c r="O90" s="2" t="s">
        <v>816</v>
      </c>
      <c r="P90" s="2" t="s">
        <v>669</v>
      </c>
    </row>
    <row r="91" spans="1:16" ht="13.2" customHeight="1" x14ac:dyDescent="0.25">
      <c r="A91" s="2">
        <v>122</v>
      </c>
      <c r="B91" s="2" t="s">
        <v>21077</v>
      </c>
      <c r="C91" s="2"/>
      <c r="D91" s="2" t="s">
        <v>21078</v>
      </c>
      <c r="E91" s="2" t="s">
        <v>21079</v>
      </c>
      <c r="F91" s="2" t="s">
        <v>21080</v>
      </c>
      <c r="G91" s="2" t="s">
        <v>21081</v>
      </c>
      <c r="H91" s="2" t="s">
        <v>21082</v>
      </c>
      <c r="I91" s="2">
        <v>5</v>
      </c>
      <c r="J91" s="2" t="s">
        <v>21083</v>
      </c>
      <c r="K91" s="2"/>
      <c r="L91" s="2" t="s">
        <v>20522</v>
      </c>
      <c r="M91" s="2" t="s">
        <v>72</v>
      </c>
      <c r="N91" s="2" t="s">
        <v>21084</v>
      </c>
      <c r="O91" s="2" t="s">
        <v>816</v>
      </c>
      <c r="P91" s="2" t="s">
        <v>669</v>
      </c>
    </row>
    <row r="92" spans="1:16" ht="13.2" customHeight="1" x14ac:dyDescent="0.25">
      <c r="A92" s="2">
        <v>123</v>
      </c>
      <c r="B92" s="2" t="s">
        <v>21085</v>
      </c>
      <c r="C92" s="2"/>
      <c r="D92" s="2" t="s">
        <v>21086</v>
      </c>
      <c r="E92" s="2" t="s">
        <v>21087</v>
      </c>
      <c r="F92" s="2" t="s">
        <v>21088</v>
      </c>
      <c r="G92" s="2" t="s">
        <v>21089</v>
      </c>
      <c r="H92" s="2" t="s">
        <v>21090</v>
      </c>
      <c r="I92" s="2">
        <v>2</v>
      </c>
      <c r="J92" s="2" t="s">
        <v>21091</v>
      </c>
      <c r="K92" s="2"/>
      <c r="L92" s="2" t="s">
        <v>21058</v>
      </c>
      <c r="M92" s="2" t="s">
        <v>72</v>
      </c>
      <c r="N92" s="2" t="s">
        <v>21092</v>
      </c>
      <c r="O92" s="2" t="s">
        <v>816</v>
      </c>
      <c r="P92" s="2" t="s">
        <v>669</v>
      </c>
    </row>
    <row r="93" spans="1:16" ht="13.2" customHeight="1" x14ac:dyDescent="0.25">
      <c r="A93" s="2">
        <v>124</v>
      </c>
      <c r="B93" s="2" t="s">
        <v>21093</v>
      </c>
      <c r="C93" s="2"/>
      <c r="D93" s="2" t="s">
        <v>21094</v>
      </c>
      <c r="E93" s="2" t="s">
        <v>21095</v>
      </c>
      <c r="F93" s="2" t="s">
        <v>21096</v>
      </c>
      <c r="G93" s="2" t="s">
        <v>21097</v>
      </c>
      <c r="H93" s="2" t="s">
        <v>21098</v>
      </c>
      <c r="I93" s="2">
        <v>2</v>
      </c>
      <c r="J93" s="2" t="s">
        <v>21099</v>
      </c>
      <c r="K93" s="2"/>
      <c r="L93" s="2" t="s">
        <v>20522</v>
      </c>
      <c r="M93" s="2" t="s">
        <v>72</v>
      </c>
      <c r="N93" s="2" t="s">
        <v>18043</v>
      </c>
      <c r="O93" s="2" t="s">
        <v>816</v>
      </c>
      <c r="P93" s="2" t="s">
        <v>669</v>
      </c>
    </row>
    <row r="94" spans="1:16" ht="13.2" customHeight="1" x14ac:dyDescent="0.25">
      <c r="A94" s="2">
        <v>125</v>
      </c>
      <c r="B94" s="2" t="s">
        <v>21100</v>
      </c>
      <c r="C94" s="2"/>
      <c r="D94" s="2" t="s">
        <v>21101</v>
      </c>
      <c r="E94" s="2" t="s">
        <v>21102</v>
      </c>
      <c r="F94" s="2" t="s">
        <v>21103</v>
      </c>
      <c r="G94" s="2" t="s">
        <v>21104</v>
      </c>
      <c r="H94" s="2" t="s">
        <v>21105</v>
      </c>
      <c r="I94" s="2">
        <v>1</v>
      </c>
      <c r="J94" s="2" t="s">
        <v>21106</v>
      </c>
      <c r="K94" s="2"/>
      <c r="L94" s="2" t="s">
        <v>20522</v>
      </c>
      <c r="M94" s="2" t="s">
        <v>72</v>
      </c>
      <c r="N94" s="2" t="s">
        <v>21107</v>
      </c>
      <c r="O94" s="2" t="s">
        <v>816</v>
      </c>
      <c r="P94" s="2" t="s">
        <v>669</v>
      </c>
    </row>
    <row r="95" spans="1:16" ht="13.2" customHeight="1" x14ac:dyDescent="0.25">
      <c r="A95" s="2">
        <v>126</v>
      </c>
      <c r="B95" s="2" t="s">
        <v>21108</v>
      </c>
      <c r="C95" s="2"/>
      <c r="D95" s="2" t="s">
        <v>21109</v>
      </c>
      <c r="E95" s="2" t="s">
        <v>20729</v>
      </c>
      <c r="F95" s="2" t="s">
        <v>20730</v>
      </c>
      <c r="G95" s="2" t="s">
        <v>20731</v>
      </c>
      <c r="H95" s="2" t="s">
        <v>20732</v>
      </c>
      <c r="I95" s="2">
        <v>3</v>
      </c>
      <c r="J95" s="2" t="s">
        <v>21110</v>
      </c>
      <c r="K95" s="2"/>
      <c r="L95" s="2" t="s">
        <v>20522</v>
      </c>
      <c r="M95" s="2" t="s">
        <v>72</v>
      </c>
      <c r="N95" s="2" t="s">
        <v>21111</v>
      </c>
      <c r="O95" s="2" t="s">
        <v>816</v>
      </c>
      <c r="P95" s="2" t="s">
        <v>669</v>
      </c>
    </row>
    <row r="96" spans="1:16" ht="13.2" customHeight="1" x14ac:dyDescent="0.25">
      <c r="A96" s="2">
        <v>127</v>
      </c>
      <c r="B96" s="2" t="s">
        <v>3079</v>
      </c>
      <c r="C96" s="2"/>
      <c r="D96" s="2" t="s">
        <v>3080</v>
      </c>
      <c r="E96" s="2" t="s">
        <v>3081</v>
      </c>
      <c r="F96" s="2" t="s">
        <v>3082</v>
      </c>
      <c r="G96" s="2" t="s">
        <v>3083</v>
      </c>
      <c r="H96" s="2" t="s">
        <v>3084</v>
      </c>
      <c r="I96" s="2">
        <v>5</v>
      </c>
      <c r="J96" s="2" t="s">
        <v>21112</v>
      </c>
      <c r="K96" s="2"/>
      <c r="L96" s="2" t="s">
        <v>20522</v>
      </c>
      <c r="M96" s="2" t="s">
        <v>72</v>
      </c>
      <c r="N96" s="2" t="s">
        <v>21113</v>
      </c>
      <c r="O96" s="2" t="s">
        <v>816</v>
      </c>
      <c r="P96" s="2" t="s">
        <v>669</v>
      </c>
    </row>
    <row r="97" spans="1:17" ht="13.2" customHeight="1" x14ac:dyDescent="0.25">
      <c r="A97" s="2">
        <v>130</v>
      </c>
      <c r="B97" s="2" t="s">
        <v>21114</v>
      </c>
      <c r="C97" s="2"/>
      <c r="D97" s="2" t="s">
        <v>21115</v>
      </c>
      <c r="E97" s="2" t="s">
        <v>21116</v>
      </c>
      <c r="F97" s="2" t="s">
        <v>21117</v>
      </c>
      <c r="G97" s="2" t="s">
        <v>21118</v>
      </c>
      <c r="H97" s="2" t="s">
        <v>21119</v>
      </c>
      <c r="I97" s="2">
        <v>3</v>
      </c>
      <c r="J97" s="2" t="s">
        <v>21120</v>
      </c>
      <c r="K97" s="2"/>
      <c r="L97" s="2" t="s">
        <v>20522</v>
      </c>
      <c r="M97" s="2" t="s">
        <v>72</v>
      </c>
      <c r="N97" s="2" t="s">
        <v>21121</v>
      </c>
      <c r="O97" s="2" t="s">
        <v>816</v>
      </c>
      <c r="P97" s="2" t="s">
        <v>669</v>
      </c>
    </row>
    <row r="98" spans="1:17" ht="13.2" customHeight="1" x14ac:dyDescent="0.25">
      <c r="A98" s="2">
        <v>131</v>
      </c>
      <c r="B98" s="2" t="s">
        <v>21122</v>
      </c>
      <c r="C98" s="2"/>
      <c r="D98" s="2" t="s">
        <v>20968</v>
      </c>
      <c r="E98" s="2" t="s">
        <v>20967</v>
      </c>
      <c r="F98" s="2" t="s">
        <v>4161</v>
      </c>
      <c r="G98" s="2" t="s">
        <v>20612</v>
      </c>
      <c r="H98" s="2" t="s">
        <v>799</v>
      </c>
      <c r="I98" s="2">
        <v>1</v>
      </c>
      <c r="J98" s="2" t="s">
        <v>21123</v>
      </c>
      <c r="K98" s="2"/>
      <c r="L98" s="2" t="s">
        <v>20522</v>
      </c>
      <c r="M98" s="2" t="s">
        <v>72</v>
      </c>
      <c r="N98" s="2" t="s">
        <v>21124</v>
      </c>
      <c r="O98" s="2" t="s">
        <v>816</v>
      </c>
      <c r="P98" s="2" t="s">
        <v>669</v>
      </c>
    </row>
    <row r="99" spans="1:17" ht="13.2" customHeight="1" x14ac:dyDescent="0.25">
      <c r="A99" s="2">
        <v>132</v>
      </c>
      <c r="B99" s="2" t="s">
        <v>21125</v>
      </c>
      <c r="C99" s="2"/>
      <c r="D99" s="2" t="s">
        <v>674</v>
      </c>
      <c r="E99" s="2" t="s">
        <v>1120</v>
      </c>
      <c r="F99" s="2" t="s">
        <v>1215</v>
      </c>
      <c r="G99" s="2" t="s">
        <v>542</v>
      </c>
      <c r="H99" s="2" t="s">
        <v>21126</v>
      </c>
      <c r="I99" s="2">
        <v>5</v>
      </c>
      <c r="J99" s="2" t="s">
        <v>21127</v>
      </c>
      <c r="K99" s="2"/>
      <c r="L99" s="2" t="s">
        <v>20522</v>
      </c>
      <c r="M99" s="2" t="s">
        <v>72</v>
      </c>
      <c r="N99" s="2" t="s">
        <v>21128</v>
      </c>
      <c r="O99" s="2" t="s">
        <v>816</v>
      </c>
      <c r="P99" s="2" t="s">
        <v>669</v>
      </c>
    </row>
    <row r="100" spans="1:17" ht="13.2" customHeight="1" x14ac:dyDescent="0.25">
      <c r="A100" s="2">
        <v>133</v>
      </c>
      <c r="B100" s="2" t="s">
        <v>21129</v>
      </c>
      <c r="C100" s="2"/>
      <c r="D100" s="2" t="s">
        <v>4067</v>
      </c>
      <c r="E100" s="2" t="s">
        <v>4068</v>
      </c>
      <c r="F100" s="2" t="s">
        <v>20539</v>
      </c>
      <c r="G100" s="2" t="s">
        <v>21130</v>
      </c>
      <c r="H100" s="2" t="s">
        <v>20626</v>
      </c>
      <c r="I100" s="2">
        <v>1</v>
      </c>
      <c r="J100" s="2" t="s">
        <v>21131</v>
      </c>
      <c r="K100" s="2"/>
      <c r="L100" s="2" t="s">
        <v>20522</v>
      </c>
      <c r="M100" s="2" t="s">
        <v>72</v>
      </c>
      <c r="N100" s="2" t="s">
        <v>21132</v>
      </c>
      <c r="O100" s="2" t="s">
        <v>816</v>
      </c>
      <c r="P100" s="2" t="s">
        <v>669</v>
      </c>
    </row>
    <row r="101" spans="1:17" ht="13.2" customHeight="1" x14ac:dyDescent="0.25">
      <c r="A101" s="8" t="s">
        <v>8863</v>
      </c>
      <c r="B101" s="2" t="s">
        <v>21133</v>
      </c>
      <c r="C101" s="2"/>
      <c r="D101" s="2" t="s">
        <v>21134</v>
      </c>
      <c r="E101" s="2" t="s">
        <v>21135</v>
      </c>
      <c r="F101" s="2" t="s">
        <v>21136</v>
      </c>
      <c r="G101" s="2" t="s">
        <v>21137</v>
      </c>
      <c r="H101" s="2" t="s">
        <v>21138</v>
      </c>
      <c r="I101" s="8" t="s">
        <v>84</v>
      </c>
      <c r="J101" s="2" t="s">
        <v>21139</v>
      </c>
      <c r="K101" s="2"/>
      <c r="L101" s="2" t="s">
        <v>20522</v>
      </c>
      <c r="M101" s="2" t="s">
        <v>21140</v>
      </c>
      <c r="N101" s="2" t="s">
        <v>21141</v>
      </c>
      <c r="O101" s="2" t="s">
        <v>816</v>
      </c>
      <c r="P101" s="2" t="s">
        <v>1849</v>
      </c>
      <c r="Q101" s="2"/>
    </row>
    <row r="102" spans="1:17" ht="13.2" customHeight="1" x14ac:dyDescent="0.25">
      <c r="A102" s="8" t="s">
        <v>10609</v>
      </c>
      <c r="B102" s="2" t="s">
        <v>21142</v>
      </c>
      <c r="C102" s="2"/>
      <c r="D102" s="2" t="s">
        <v>21143</v>
      </c>
      <c r="E102" s="2" t="s">
        <v>21144</v>
      </c>
      <c r="F102" s="2" t="s">
        <v>21145</v>
      </c>
      <c r="G102" s="2" t="s">
        <v>21146</v>
      </c>
      <c r="H102" s="2" t="s">
        <v>21147</v>
      </c>
      <c r="I102" s="8" t="s">
        <v>84</v>
      </c>
      <c r="J102" s="2" t="s">
        <v>21148</v>
      </c>
      <c r="K102" s="2"/>
      <c r="L102" s="2" t="s">
        <v>20522</v>
      </c>
      <c r="M102" s="2" t="s">
        <v>21140</v>
      </c>
      <c r="N102" s="2" t="s">
        <v>21149</v>
      </c>
      <c r="O102" s="2" t="s">
        <v>816</v>
      </c>
      <c r="P102" s="2" t="s">
        <v>1849</v>
      </c>
      <c r="Q102" s="2"/>
    </row>
    <row r="103" spans="1:17" ht="13.2" customHeight="1" x14ac:dyDescent="0.25">
      <c r="A103" s="8" t="s">
        <v>10618</v>
      </c>
      <c r="B103" s="2" t="s">
        <v>21150</v>
      </c>
      <c r="C103" s="2"/>
      <c r="D103" s="2" t="s">
        <v>15339</v>
      </c>
      <c r="E103" s="2" t="s">
        <v>21151</v>
      </c>
      <c r="F103" s="2" t="s">
        <v>21152</v>
      </c>
      <c r="G103" s="2" t="s">
        <v>21153</v>
      </c>
      <c r="H103" s="2" t="s">
        <v>21154</v>
      </c>
      <c r="I103" s="8" t="s">
        <v>84</v>
      </c>
      <c r="J103" s="2" t="s">
        <v>21155</v>
      </c>
      <c r="K103" s="2"/>
      <c r="L103" s="2" t="s">
        <v>20522</v>
      </c>
      <c r="M103" s="2" t="s">
        <v>21140</v>
      </c>
      <c r="N103" s="2" t="s">
        <v>21156</v>
      </c>
      <c r="O103" s="2" t="s">
        <v>164</v>
      </c>
      <c r="P103" s="2" t="s">
        <v>1865</v>
      </c>
      <c r="Q103" s="2"/>
    </row>
    <row r="104" spans="1:17" ht="13.2" customHeight="1" x14ac:dyDescent="0.25">
      <c r="A104" s="8" t="s">
        <v>10622</v>
      </c>
      <c r="B104" s="2" t="s">
        <v>21157</v>
      </c>
      <c r="C104" s="2"/>
      <c r="D104" s="2" t="s">
        <v>9720</v>
      </c>
      <c r="E104" s="2" t="s">
        <v>21158</v>
      </c>
      <c r="F104" s="2" t="s">
        <v>21159</v>
      </c>
      <c r="G104" s="2" t="s">
        <v>21160</v>
      </c>
      <c r="H104" s="2" t="s">
        <v>21161</v>
      </c>
      <c r="I104" s="8" t="s">
        <v>84</v>
      </c>
      <c r="J104" s="2" t="s">
        <v>21162</v>
      </c>
      <c r="K104" s="2"/>
      <c r="L104" s="2" t="s">
        <v>21058</v>
      </c>
      <c r="M104" s="2" t="s">
        <v>21140</v>
      </c>
      <c r="N104" s="2" t="s">
        <v>21163</v>
      </c>
      <c r="O104" s="2" t="s">
        <v>164</v>
      </c>
      <c r="P104" s="2" t="s">
        <v>1865</v>
      </c>
      <c r="Q104" s="2"/>
    </row>
    <row r="105" spans="1:17" ht="13.2" customHeight="1" x14ac:dyDescent="0.25">
      <c r="A105" s="8" t="s">
        <v>10625</v>
      </c>
      <c r="B105" s="2" t="s">
        <v>21164</v>
      </c>
      <c r="C105" s="2"/>
      <c r="D105" s="2" t="s">
        <v>21140</v>
      </c>
      <c r="E105" s="2" t="s">
        <v>21165</v>
      </c>
      <c r="F105" s="2" t="s">
        <v>21166</v>
      </c>
      <c r="G105" s="2" t="s">
        <v>21167</v>
      </c>
      <c r="H105" s="2" t="s">
        <v>21168</v>
      </c>
      <c r="I105" s="8" t="s">
        <v>84</v>
      </c>
      <c r="J105" s="2" t="s">
        <v>21169</v>
      </c>
      <c r="K105" s="2"/>
      <c r="L105" s="2" t="s">
        <v>20522</v>
      </c>
      <c r="M105" s="2" t="s">
        <v>21140</v>
      </c>
      <c r="N105" s="2" t="s">
        <v>2066</v>
      </c>
      <c r="O105" s="2" t="s">
        <v>164</v>
      </c>
      <c r="P105" s="2" t="s">
        <v>2017</v>
      </c>
    </row>
    <row r="106" spans="1:17" ht="13.2" customHeight="1" x14ac:dyDescent="0.25">
      <c r="A106" s="8" t="s">
        <v>10631</v>
      </c>
      <c r="B106" s="2" t="s">
        <v>21170</v>
      </c>
      <c r="C106" s="2"/>
      <c r="D106" s="2" t="s">
        <v>21140</v>
      </c>
      <c r="E106" s="2" t="s">
        <v>21168</v>
      </c>
      <c r="F106" s="2" t="s">
        <v>21171</v>
      </c>
      <c r="G106" s="2" t="s">
        <v>21172</v>
      </c>
      <c r="H106" s="2" t="s">
        <v>21173</v>
      </c>
      <c r="I106" s="8" t="s">
        <v>84</v>
      </c>
      <c r="J106" s="2" t="s">
        <v>21174</v>
      </c>
      <c r="K106" s="2"/>
      <c r="L106" s="2" t="s">
        <v>20522</v>
      </c>
      <c r="M106" s="2" t="s">
        <v>21140</v>
      </c>
      <c r="N106" s="2" t="s">
        <v>21175</v>
      </c>
      <c r="O106" s="2" t="s">
        <v>164</v>
      </c>
      <c r="P106" s="2" t="s">
        <v>2017</v>
      </c>
    </row>
    <row r="107" spans="1:17" ht="13.2" customHeight="1" x14ac:dyDescent="0.25">
      <c r="A107" s="8" t="s">
        <v>10639</v>
      </c>
      <c r="B107" s="2" t="s">
        <v>21176</v>
      </c>
      <c r="C107" s="2"/>
      <c r="D107" s="2" t="s">
        <v>21140</v>
      </c>
      <c r="E107" s="2" t="s">
        <v>21173</v>
      </c>
      <c r="F107" s="2" t="s">
        <v>21177</v>
      </c>
      <c r="G107" s="2" t="s">
        <v>21178</v>
      </c>
      <c r="H107" s="2" t="s">
        <v>21179</v>
      </c>
      <c r="I107" s="8" t="s">
        <v>123</v>
      </c>
      <c r="J107" s="2" t="s">
        <v>21180</v>
      </c>
      <c r="K107" s="2"/>
      <c r="L107" s="2" t="s">
        <v>20522</v>
      </c>
      <c r="M107" s="2" t="s">
        <v>21140</v>
      </c>
      <c r="N107" s="2" t="s">
        <v>4809</v>
      </c>
      <c r="O107" s="2" t="s">
        <v>164</v>
      </c>
      <c r="P107" s="2" t="s">
        <v>2017</v>
      </c>
    </row>
    <row r="108" spans="1:17" ht="13.2" customHeight="1" x14ac:dyDescent="0.25">
      <c r="A108" s="8" t="s">
        <v>10642</v>
      </c>
      <c r="B108" s="2" t="s">
        <v>21181</v>
      </c>
      <c r="C108" s="2"/>
      <c r="D108" s="2" t="s">
        <v>21140</v>
      </c>
      <c r="E108" s="2" t="s">
        <v>21179</v>
      </c>
      <c r="F108" s="2" t="s">
        <v>21165</v>
      </c>
      <c r="G108" s="2" t="s">
        <v>21166</v>
      </c>
      <c r="H108" s="2" t="s">
        <v>21167</v>
      </c>
      <c r="I108" s="8" t="s">
        <v>84</v>
      </c>
      <c r="J108" s="2" t="s">
        <v>21182</v>
      </c>
      <c r="K108" s="2"/>
      <c r="L108" s="2" t="s">
        <v>20522</v>
      </c>
      <c r="M108" s="2" t="s">
        <v>21140</v>
      </c>
      <c r="N108" s="2" t="s">
        <v>21183</v>
      </c>
      <c r="O108" s="2" t="s">
        <v>164</v>
      </c>
      <c r="P108" s="2" t="s">
        <v>2017</v>
      </c>
    </row>
    <row r="109" spans="1:17" ht="13.2" customHeight="1" x14ac:dyDescent="0.25">
      <c r="A109" s="8" t="s">
        <v>10645</v>
      </c>
      <c r="B109" s="2" t="s">
        <v>21184</v>
      </c>
      <c r="C109" s="2"/>
      <c r="D109" s="2" t="s">
        <v>21140</v>
      </c>
      <c r="E109" s="2" t="s">
        <v>21167</v>
      </c>
      <c r="F109" s="2" t="s">
        <v>21168</v>
      </c>
      <c r="G109" s="2" t="s">
        <v>21171</v>
      </c>
      <c r="H109" s="2" t="s">
        <v>21172</v>
      </c>
      <c r="I109" s="8" t="s">
        <v>84</v>
      </c>
      <c r="J109" s="2" t="s">
        <v>21185</v>
      </c>
      <c r="K109" s="2"/>
      <c r="L109" s="2" t="s">
        <v>20522</v>
      </c>
      <c r="M109" s="2" t="s">
        <v>21140</v>
      </c>
      <c r="N109" s="2" t="s">
        <v>21186</v>
      </c>
      <c r="O109" s="2" t="s">
        <v>164</v>
      </c>
      <c r="P109" s="2" t="s">
        <v>2109</v>
      </c>
    </row>
    <row r="110" spans="1:17" ht="13.2" customHeight="1" x14ac:dyDescent="0.25">
      <c r="A110" s="8" t="s">
        <v>10648</v>
      </c>
      <c r="B110" s="2" t="s">
        <v>21187</v>
      </c>
      <c r="C110" s="2"/>
      <c r="D110" s="2" t="s">
        <v>7351</v>
      </c>
      <c r="E110" s="2" t="s">
        <v>7352</v>
      </c>
      <c r="F110" s="2" t="s">
        <v>7353</v>
      </c>
      <c r="G110" s="2" t="s">
        <v>7354</v>
      </c>
      <c r="H110" s="2" t="s">
        <v>21188</v>
      </c>
      <c r="I110" s="8" t="s">
        <v>84</v>
      </c>
      <c r="J110" s="2" t="s">
        <v>21189</v>
      </c>
      <c r="K110" s="2"/>
      <c r="L110" s="2" t="s">
        <v>20522</v>
      </c>
      <c r="M110" s="2" t="s">
        <v>21140</v>
      </c>
      <c r="N110" s="2" t="s">
        <v>21186</v>
      </c>
      <c r="O110" s="2" t="s">
        <v>164</v>
      </c>
      <c r="P110" s="2" t="s">
        <v>2109</v>
      </c>
      <c r="Q110" s="2"/>
    </row>
    <row r="111" spans="1:17" ht="13.2" customHeight="1" x14ac:dyDescent="0.25">
      <c r="A111" s="8" t="s">
        <v>10656</v>
      </c>
      <c r="B111" s="2" t="s">
        <v>21190</v>
      </c>
      <c r="C111" s="2"/>
      <c r="D111" s="2" t="s">
        <v>21191</v>
      </c>
      <c r="E111" s="2" t="s">
        <v>21192</v>
      </c>
      <c r="F111" s="2" t="s">
        <v>21193</v>
      </c>
      <c r="G111" s="2" t="s">
        <v>21194</v>
      </c>
      <c r="H111" s="2" t="s">
        <v>21195</v>
      </c>
      <c r="I111" s="8" t="s">
        <v>84</v>
      </c>
      <c r="J111" s="2" t="s">
        <v>21196</v>
      </c>
      <c r="K111" s="2"/>
      <c r="L111" s="2" t="s">
        <v>20522</v>
      </c>
      <c r="M111" s="2" t="s">
        <v>21140</v>
      </c>
      <c r="N111" s="2" t="s">
        <v>21197</v>
      </c>
      <c r="O111" s="2" t="s">
        <v>164</v>
      </c>
      <c r="P111" s="2" t="s">
        <v>2109</v>
      </c>
      <c r="Q111" s="2"/>
    </row>
    <row r="112" spans="1:17" ht="13.2" customHeight="1" x14ac:dyDescent="0.25">
      <c r="A112" s="8" t="s">
        <v>10660</v>
      </c>
      <c r="B112" s="2" t="s">
        <v>21198</v>
      </c>
      <c r="C112" s="2"/>
      <c r="D112" s="2" t="s">
        <v>21199</v>
      </c>
      <c r="E112" s="2" t="s">
        <v>21200</v>
      </c>
      <c r="F112" s="2" t="s">
        <v>21201</v>
      </c>
      <c r="G112" s="2" t="s">
        <v>8750</v>
      </c>
      <c r="H112" s="2" t="s">
        <v>21202</v>
      </c>
      <c r="I112" s="8" t="s">
        <v>84</v>
      </c>
      <c r="J112" s="2" t="s">
        <v>21203</v>
      </c>
      <c r="K112" s="2"/>
      <c r="L112" s="2" t="s">
        <v>20579</v>
      </c>
      <c r="M112" s="2" t="s">
        <v>21140</v>
      </c>
      <c r="N112" s="2" t="s">
        <v>21204</v>
      </c>
      <c r="O112" s="2" t="s">
        <v>164</v>
      </c>
      <c r="P112" s="2" t="s">
        <v>2109</v>
      </c>
      <c r="Q112" s="2"/>
    </row>
    <row r="113" spans="1:17" ht="13.2" customHeight="1" x14ac:dyDescent="0.25">
      <c r="A113" s="8" t="s">
        <v>10669</v>
      </c>
      <c r="B113" s="2" t="s">
        <v>21205</v>
      </c>
      <c r="C113" s="2"/>
      <c r="D113" s="2" t="s">
        <v>21140</v>
      </c>
      <c r="E113" s="2" t="s">
        <v>21171</v>
      </c>
      <c r="F113" s="2" t="s">
        <v>21172</v>
      </c>
      <c r="G113" s="2" t="s">
        <v>21173</v>
      </c>
      <c r="H113" s="2" t="s">
        <v>21177</v>
      </c>
      <c r="I113" s="8" t="s">
        <v>84</v>
      </c>
      <c r="J113" s="2" t="s">
        <v>21206</v>
      </c>
      <c r="K113" s="2"/>
      <c r="L113" s="2" t="s">
        <v>20522</v>
      </c>
      <c r="M113" s="2" t="s">
        <v>21140</v>
      </c>
      <c r="N113" s="2" t="s">
        <v>21207</v>
      </c>
      <c r="O113" s="2" t="s">
        <v>164</v>
      </c>
      <c r="P113" s="2" t="s">
        <v>2109</v>
      </c>
    </row>
    <row r="114" spans="1:17" ht="13.2" customHeight="1" x14ac:dyDescent="0.25">
      <c r="A114" s="8" t="s">
        <v>10677</v>
      </c>
      <c r="B114" s="2" t="s">
        <v>21208</v>
      </c>
      <c r="C114" s="2"/>
      <c r="D114" s="2" t="s">
        <v>21140</v>
      </c>
      <c r="E114" s="2" t="s">
        <v>21177</v>
      </c>
      <c r="F114" s="2" t="s">
        <v>21178</v>
      </c>
      <c r="G114" s="2" t="s">
        <v>21179</v>
      </c>
      <c r="H114" s="2" t="s">
        <v>21165</v>
      </c>
      <c r="I114" s="8" t="s">
        <v>84</v>
      </c>
      <c r="J114" s="2" t="s">
        <v>21209</v>
      </c>
      <c r="K114" s="2"/>
      <c r="L114" s="2" t="s">
        <v>20522</v>
      </c>
      <c r="M114" s="2" t="s">
        <v>21140</v>
      </c>
      <c r="N114" s="2" t="s">
        <v>21210</v>
      </c>
      <c r="O114" s="2" t="s">
        <v>164</v>
      </c>
      <c r="P114" s="2" t="s">
        <v>2109</v>
      </c>
    </row>
    <row r="115" spans="1:17" ht="13.2" customHeight="1" x14ac:dyDescent="0.25">
      <c r="A115" s="8" t="s">
        <v>10682</v>
      </c>
      <c r="B115" s="2" t="s">
        <v>21211</v>
      </c>
      <c r="C115" s="2"/>
      <c r="D115" s="2" t="s">
        <v>4068</v>
      </c>
      <c r="E115" s="2" t="s">
        <v>21212</v>
      </c>
      <c r="F115" s="2" t="s">
        <v>21213</v>
      </c>
      <c r="G115" s="2" t="s">
        <v>21214</v>
      </c>
      <c r="H115" s="2" t="s">
        <v>21215</v>
      </c>
      <c r="I115" s="8" t="s">
        <v>84</v>
      </c>
      <c r="J115" s="2" t="s">
        <v>21216</v>
      </c>
      <c r="K115" s="2"/>
      <c r="L115" s="2" t="s">
        <v>20522</v>
      </c>
      <c r="M115" s="2" t="s">
        <v>21140</v>
      </c>
      <c r="N115" s="2" t="s">
        <v>21217</v>
      </c>
      <c r="O115" s="2" t="s">
        <v>164</v>
      </c>
      <c r="P115" s="2" t="s">
        <v>2109</v>
      </c>
      <c r="Q115" s="2"/>
    </row>
    <row r="116" spans="1:17" ht="13.2" customHeight="1" x14ac:dyDescent="0.25">
      <c r="A116" s="8" t="s">
        <v>12084</v>
      </c>
      <c r="B116" s="2" t="s">
        <v>21218</v>
      </c>
      <c r="C116" s="2"/>
      <c r="D116" s="2" t="s">
        <v>21140</v>
      </c>
      <c r="E116" s="2" t="s">
        <v>21168</v>
      </c>
      <c r="F116" s="2" t="s">
        <v>21171</v>
      </c>
      <c r="G116" s="2" t="s">
        <v>21172</v>
      </c>
      <c r="H116" s="2" t="s">
        <v>21173</v>
      </c>
      <c r="I116" s="8" t="s">
        <v>84</v>
      </c>
      <c r="J116" s="2" t="s">
        <v>21219</v>
      </c>
      <c r="K116" s="2"/>
      <c r="L116" s="2" t="s">
        <v>20522</v>
      </c>
      <c r="M116" s="2" t="s">
        <v>21140</v>
      </c>
      <c r="N116" s="2" t="s">
        <v>21220</v>
      </c>
      <c r="O116" s="2" t="s">
        <v>164</v>
      </c>
      <c r="P116" s="2" t="s">
        <v>2155</v>
      </c>
    </row>
    <row r="117" spans="1:17" ht="13.2" customHeight="1" x14ac:dyDescent="0.25">
      <c r="A117" s="8" t="s">
        <v>12087</v>
      </c>
      <c r="B117" s="2" t="s">
        <v>21221</v>
      </c>
      <c r="C117" s="2"/>
      <c r="D117" s="2" t="s">
        <v>21140</v>
      </c>
      <c r="E117" s="2" t="s">
        <v>21173</v>
      </c>
      <c r="F117" s="2" t="s">
        <v>21177</v>
      </c>
      <c r="G117" s="2" t="s">
        <v>21178</v>
      </c>
      <c r="H117" s="2" t="s">
        <v>21179</v>
      </c>
      <c r="I117" s="8" t="s">
        <v>90</v>
      </c>
      <c r="J117" s="2" t="s">
        <v>21222</v>
      </c>
      <c r="K117" s="2"/>
      <c r="L117" s="2" t="s">
        <v>20522</v>
      </c>
      <c r="M117" s="2" t="s">
        <v>21140</v>
      </c>
      <c r="N117" s="2" t="s">
        <v>21223</v>
      </c>
      <c r="O117" s="2" t="s">
        <v>164</v>
      </c>
      <c r="P117" s="2" t="s">
        <v>2155</v>
      </c>
    </row>
    <row r="118" spans="1:17" ht="13.2" customHeight="1" x14ac:dyDescent="0.25">
      <c r="A118" s="8" t="s">
        <v>12089</v>
      </c>
      <c r="B118" s="2" t="s">
        <v>21224</v>
      </c>
      <c r="C118" s="2"/>
      <c r="D118" s="2" t="s">
        <v>21140</v>
      </c>
      <c r="E118" s="2" t="s">
        <v>21179</v>
      </c>
      <c r="F118" s="2" t="s">
        <v>21225</v>
      </c>
      <c r="G118" s="2" t="s">
        <v>21166</v>
      </c>
      <c r="H118" s="2" t="s">
        <v>21167</v>
      </c>
      <c r="I118" s="8" t="s">
        <v>84</v>
      </c>
      <c r="J118" s="2" t="s">
        <v>21226</v>
      </c>
      <c r="K118" s="2"/>
      <c r="L118" s="2" t="s">
        <v>20522</v>
      </c>
      <c r="M118" s="2" t="s">
        <v>21140</v>
      </c>
      <c r="N118" s="2" t="s">
        <v>21227</v>
      </c>
      <c r="O118" s="2" t="s">
        <v>164</v>
      </c>
      <c r="P118" s="2" t="s">
        <v>2155</v>
      </c>
    </row>
    <row r="119" spans="1:17" ht="13.2" customHeight="1" x14ac:dyDescent="0.25">
      <c r="A119" s="8" t="s">
        <v>12091</v>
      </c>
      <c r="B119" s="2" t="s">
        <v>21228</v>
      </c>
      <c r="C119" s="2"/>
      <c r="D119" s="2" t="s">
        <v>21140</v>
      </c>
      <c r="E119" s="2" t="s">
        <v>21167</v>
      </c>
      <c r="F119" s="2" t="s">
        <v>21168</v>
      </c>
      <c r="G119" s="2" t="s">
        <v>21171</v>
      </c>
      <c r="H119" s="2" t="s">
        <v>21172</v>
      </c>
      <c r="I119" s="8" t="s">
        <v>84</v>
      </c>
      <c r="J119" s="2" t="s">
        <v>21229</v>
      </c>
      <c r="K119" s="2"/>
      <c r="L119" s="2" t="s">
        <v>20579</v>
      </c>
      <c r="M119" s="2" t="s">
        <v>21140</v>
      </c>
      <c r="N119" s="2" t="s">
        <v>21230</v>
      </c>
      <c r="O119" s="2" t="s">
        <v>164</v>
      </c>
      <c r="P119" s="2" t="s">
        <v>2155</v>
      </c>
    </row>
    <row r="120" spans="1:17" ht="13.2" customHeight="1" x14ac:dyDescent="0.25">
      <c r="A120" s="8" t="s">
        <v>12093</v>
      </c>
      <c r="B120" s="2" t="s">
        <v>21231</v>
      </c>
      <c r="C120" s="2"/>
      <c r="D120" s="2" t="s">
        <v>21140</v>
      </c>
      <c r="E120" s="2" t="s">
        <v>21232</v>
      </c>
      <c r="F120" s="2" t="s">
        <v>21233</v>
      </c>
      <c r="G120" s="2" t="s">
        <v>6776</v>
      </c>
      <c r="H120" s="2" t="s">
        <v>21178</v>
      </c>
      <c r="I120" s="8" t="s">
        <v>84</v>
      </c>
      <c r="J120" s="2" t="s">
        <v>21234</v>
      </c>
      <c r="K120" s="2"/>
      <c r="L120" s="2" t="s">
        <v>20522</v>
      </c>
      <c r="M120" s="2" t="s">
        <v>21140</v>
      </c>
      <c r="N120" s="2" t="s">
        <v>21235</v>
      </c>
      <c r="O120" s="2" t="s">
        <v>164</v>
      </c>
      <c r="P120" s="2" t="s">
        <v>2155</v>
      </c>
    </row>
    <row r="121" spans="1:17" ht="13.2" customHeight="1" x14ac:dyDescent="0.25">
      <c r="A121" s="8" t="s">
        <v>12096</v>
      </c>
      <c r="B121" s="2" t="s">
        <v>21236</v>
      </c>
      <c r="C121" s="2"/>
      <c r="D121" s="2" t="s">
        <v>21140</v>
      </c>
      <c r="E121" s="2" t="s">
        <v>21237</v>
      </c>
      <c r="F121" s="2" t="s">
        <v>21238</v>
      </c>
      <c r="G121" s="2" t="s">
        <v>21239</v>
      </c>
      <c r="H121" s="2" t="s">
        <v>21240</v>
      </c>
      <c r="I121" s="8" t="s">
        <v>84</v>
      </c>
      <c r="J121" s="2" t="s">
        <v>21241</v>
      </c>
      <c r="K121" s="2"/>
      <c r="L121" s="2" t="s">
        <v>21058</v>
      </c>
      <c r="M121" s="2" t="s">
        <v>21140</v>
      </c>
      <c r="N121" s="2" t="s">
        <v>21242</v>
      </c>
      <c r="O121" s="2" t="s">
        <v>164</v>
      </c>
      <c r="P121" s="2" t="s">
        <v>2155</v>
      </c>
    </row>
    <row r="122" spans="1:17" ht="13.2" customHeight="1" x14ac:dyDescent="0.25">
      <c r="A122" s="8" t="s">
        <v>12099</v>
      </c>
      <c r="B122" s="2" t="s">
        <v>21243</v>
      </c>
      <c r="C122" s="2"/>
      <c r="D122" s="2" t="s">
        <v>21140</v>
      </c>
      <c r="E122" s="2" t="s">
        <v>21166</v>
      </c>
      <c r="F122" s="2" t="s">
        <v>21167</v>
      </c>
      <c r="G122" s="2" t="s">
        <v>21168</v>
      </c>
      <c r="H122" s="2" t="s">
        <v>21171</v>
      </c>
      <c r="I122" s="8" t="s">
        <v>84</v>
      </c>
      <c r="J122" s="2" t="s">
        <v>21244</v>
      </c>
      <c r="K122" s="2"/>
      <c r="L122" s="2" t="s">
        <v>21058</v>
      </c>
      <c r="M122" s="2" t="s">
        <v>21140</v>
      </c>
      <c r="N122" s="2" t="s">
        <v>10326</v>
      </c>
      <c r="O122" s="2" t="s">
        <v>164</v>
      </c>
      <c r="P122" s="2" t="s">
        <v>2155</v>
      </c>
    </row>
    <row r="123" spans="1:17" ht="13.2" customHeight="1" x14ac:dyDescent="0.25">
      <c r="A123" s="8" t="s">
        <v>12102</v>
      </c>
      <c r="B123" s="2" t="s">
        <v>21245</v>
      </c>
      <c r="C123" s="2"/>
      <c r="D123" s="2" t="s">
        <v>21140</v>
      </c>
      <c r="E123" s="2" t="s">
        <v>21171</v>
      </c>
      <c r="F123" s="2" t="s">
        <v>21172</v>
      </c>
      <c r="G123" s="2" t="s">
        <v>21173</v>
      </c>
      <c r="H123" s="2" t="s">
        <v>21177</v>
      </c>
      <c r="I123" s="8" t="s">
        <v>84</v>
      </c>
      <c r="J123" s="2" t="s">
        <v>21246</v>
      </c>
      <c r="K123" s="2"/>
      <c r="L123" s="2" t="s">
        <v>20522</v>
      </c>
      <c r="M123" s="2" t="s">
        <v>21140</v>
      </c>
      <c r="N123" s="2" t="s">
        <v>21247</v>
      </c>
      <c r="O123" s="2" t="s">
        <v>164</v>
      </c>
      <c r="P123" s="2" t="s">
        <v>2155</v>
      </c>
    </row>
    <row r="124" spans="1:17" ht="13.2" customHeight="1" x14ac:dyDescent="0.25">
      <c r="A124" s="8" t="s">
        <v>12104</v>
      </c>
      <c r="B124" s="2" t="s">
        <v>21248</v>
      </c>
      <c r="C124" s="2"/>
      <c r="D124" s="2" t="s">
        <v>21140</v>
      </c>
      <c r="E124" s="2" t="s">
        <v>21249</v>
      </c>
      <c r="F124" s="2" t="s">
        <v>21250</v>
      </c>
      <c r="G124" s="2" t="s">
        <v>21251</v>
      </c>
      <c r="H124" s="2" t="s">
        <v>21165</v>
      </c>
      <c r="I124" s="8" t="s">
        <v>84</v>
      </c>
      <c r="J124" s="2" t="s">
        <v>21252</v>
      </c>
      <c r="K124" s="2"/>
      <c r="L124" s="2" t="s">
        <v>20522</v>
      </c>
      <c r="M124" s="2" t="s">
        <v>21140</v>
      </c>
      <c r="N124" s="2" t="s">
        <v>21253</v>
      </c>
      <c r="O124" s="2" t="s">
        <v>164</v>
      </c>
      <c r="P124" s="2" t="s">
        <v>3354</v>
      </c>
    </row>
    <row r="125" spans="1:17" ht="13.2" customHeight="1" x14ac:dyDescent="0.25">
      <c r="A125" s="8" t="s">
        <v>12107</v>
      </c>
      <c r="B125" s="2" t="s">
        <v>21254</v>
      </c>
      <c r="C125" s="2"/>
      <c r="D125" s="2" t="s">
        <v>21140</v>
      </c>
      <c r="E125" s="2" t="s">
        <v>21255</v>
      </c>
      <c r="F125" s="2" t="s">
        <v>21256</v>
      </c>
      <c r="G125" s="2" t="s">
        <v>21257</v>
      </c>
      <c r="H125" s="2" t="s">
        <v>21168</v>
      </c>
      <c r="I125" s="8" t="s">
        <v>84</v>
      </c>
      <c r="J125" s="2" t="s">
        <v>21258</v>
      </c>
      <c r="K125" s="2"/>
      <c r="L125" s="2" t="s">
        <v>20522</v>
      </c>
      <c r="M125" s="2" t="s">
        <v>21140</v>
      </c>
      <c r="N125" s="2" t="s">
        <v>21259</v>
      </c>
      <c r="O125" s="2" t="s">
        <v>164</v>
      </c>
      <c r="P125" s="2" t="s">
        <v>3354</v>
      </c>
    </row>
    <row r="126" spans="1:17" ht="13.2" customHeight="1" x14ac:dyDescent="0.25">
      <c r="A126" s="8" t="s">
        <v>12109</v>
      </c>
      <c r="B126" s="2" t="s">
        <v>21260</v>
      </c>
      <c r="C126" s="2"/>
      <c r="D126" s="2" t="s">
        <v>21140</v>
      </c>
      <c r="E126" s="2" t="s">
        <v>21261</v>
      </c>
      <c r="F126" s="2" t="s">
        <v>21262</v>
      </c>
      <c r="G126" s="2" t="s">
        <v>21263</v>
      </c>
      <c r="H126" s="2" t="s">
        <v>21173</v>
      </c>
      <c r="I126" s="8" t="s">
        <v>84</v>
      </c>
      <c r="J126" s="2" t="s">
        <v>21264</v>
      </c>
      <c r="K126" s="2"/>
      <c r="L126" s="2" t="s">
        <v>20522</v>
      </c>
      <c r="M126" s="2" t="s">
        <v>21140</v>
      </c>
      <c r="N126" s="2" t="s">
        <v>21265</v>
      </c>
      <c r="O126" s="2" t="s">
        <v>164</v>
      </c>
      <c r="P126" s="2" t="s">
        <v>3354</v>
      </c>
    </row>
    <row r="127" spans="1:17" ht="13.2" customHeight="1" x14ac:dyDescent="0.25">
      <c r="A127" s="8" t="s">
        <v>12111</v>
      </c>
      <c r="B127" s="2" t="s">
        <v>21266</v>
      </c>
      <c r="C127" s="2"/>
      <c r="D127" s="2" t="s">
        <v>21140</v>
      </c>
      <c r="E127" s="2" t="s">
        <v>21267</v>
      </c>
      <c r="F127" s="2" t="s">
        <v>21268</v>
      </c>
      <c r="G127" s="2" t="s">
        <v>21269</v>
      </c>
      <c r="H127" s="2" t="s">
        <v>21179</v>
      </c>
      <c r="I127" s="8" t="s">
        <v>84</v>
      </c>
      <c r="J127" s="2" t="s">
        <v>21270</v>
      </c>
      <c r="K127" s="2"/>
      <c r="L127" s="2" t="s">
        <v>20522</v>
      </c>
      <c r="M127" s="2" t="s">
        <v>21140</v>
      </c>
      <c r="N127" s="2" t="s">
        <v>21271</v>
      </c>
      <c r="O127" s="2" t="s">
        <v>164</v>
      </c>
      <c r="P127" s="2" t="s">
        <v>3354</v>
      </c>
    </row>
    <row r="128" spans="1:17" ht="13.2" customHeight="1" x14ac:dyDescent="0.25">
      <c r="A128" s="8" t="s">
        <v>12113</v>
      </c>
      <c r="B128" s="2" t="s">
        <v>21272</v>
      </c>
      <c r="C128" s="2"/>
      <c r="D128" s="2" t="s">
        <v>21140</v>
      </c>
      <c r="E128" s="2" t="s">
        <v>21273</v>
      </c>
      <c r="F128" s="2" t="s">
        <v>21274</v>
      </c>
      <c r="G128" s="2" t="s">
        <v>21275</v>
      </c>
      <c r="H128" s="2" t="s">
        <v>21167</v>
      </c>
      <c r="I128" s="8" t="s">
        <v>84</v>
      </c>
      <c r="J128" s="2" t="s">
        <v>21276</v>
      </c>
      <c r="K128" s="2"/>
      <c r="L128" s="2" t="s">
        <v>20522</v>
      </c>
      <c r="M128" s="2" t="s">
        <v>21140</v>
      </c>
      <c r="N128" s="2" t="s">
        <v>21277</v>
      </c>
      <c r="O128" s="2" t="s">
        <v>164</v>
      </c>
      <c r="P128" s="2" t="s">
        <v>3354</v>
      </c>
    </row>
    <row r="129" spans="1:16" ht="13.2" customHeight="1" x14ac:dyDescent="0.25">
      <c r="A129" s="2">
        <v>127</v>
      </c>
      <c r="B129" s="2" t="s">
        <v>21278</v>
      </c>
      <c r="C129" s="2"/>
      <c r="D129" s="2" t="s">
        <v>21279</v>
      </c>
      <c r="E129" s="2" t="s">
        <v>21280</v>
      </c>
      <c r="F129" s="2" t="s">
        <v>21281</v>
      </c>
      <c r="G129" s="2" t="s">
        <v>21282</v>
      </c>
      <c r="H129" s="2" t="s">
        <v>21283</v>
      </c>
      <c r="I129" s="2">
        <v>1</v>
      </c>
      <c r="J129" s="2" t="s">
        <v>21284</v>
      </c>
      <c r="K129" s="2"/>
      <c r="L129" s="2" t="s">
        <v>20522</v>
      </c>
      <c r="M129" s="2" t="s">
        <v>72</v>
      </c>
      <c r="N129" s="2" t="s">
        <v>13299</v>
      </c>
      <c r="O129" s="2" t="s">
        <v>164</v>
      </c>
      <c r="P129" s="2" t="s">
        <v>2206</v>
      </c>
    </row>
    <row r="130" spans="1:16" ht="13.2" customHeight="1" x14ac:dyDescent="0.25">
      <c r="A130" s="2">
        <v>128</v>
      </c>
      <c r="B130" s="2" t="s">
        <v>21285</v>
      </c>
      <c r="C130" s="2"/>
      <c r="D130" s="2" t="s">
        <v>21286</v>
      </c>
      <c r="E130" s="2" t="s">
        <v>21287</v>
      </c>
      <c r="F130" s="2" t="s">
        <v>21288</v>
      </c>
      <c r="G130" s="2" t="s">
        <v>21289</v>
      </c>
      <c r="H130" s="2" t="s">
        <v>21290</v>
      </c>
      <c r="I130" s="2">
        <v>1</v>
      </c>
      <c r="J130" s="2" t="s">
        <v>21291</v>
      </c>
      <c r="K130" s="2"/>
      <c r="L130" s="2" t="s">
        <v>20522</v>
      </c>
      <c r="M130" s="2" t="s">
        <v>72</v>
      </c>
      <c r="N130" s="2" t="s">
        <v>16692</v>
      </c>
      <c r="O130" s="2" t="s">
        <v>164</v>
      </c>
      <c r="P130" s="2" t="s">
        <v>2206</v>
      </c>
    </row>
    <row r="131" spans="1:16" ht="13.2" customHeight="1" x14ac:dyDescent="0.25">
      <c r="A131" s="2">
        <v>129</v>
      </c>
      <c r="B131" s="2" t="s">
        <v>21292</v>
      </c>
      <c r="C131" s="2"/>
      <c r="D131" s="2" t="s">
        <v>9320</v>
      </c>
      <c r="E131" s="2" t="s">
        <v>9310</v>
      </c>
      <c r="F131" s="2" t="s">
        <v>9718</v>
      </c>
      <c r="G131" s="2" t="s">
        <v>5033</v>
      </c>
      <c r="H131" s="2" t="s">
        <v>21293</v>
      </c>
      <c r="I131" s="2">
        <v>1</v>
      </c>
      <c r="J131" s="2" t="s">
        <v>21294</v>
      </c>
      <c r="K131" s="2"/>
      <c r="L131" s="2" t="s">
        <v>20522</v>
      </c>
      <c r="M131" s="2" t="s">
        <v>72</v>
      </c>
      <c r="N131" s="2" t="s">
        <v>17712</v>
      </c>
      <c r="O131" s="2" t="s">
        <v>164</v>
      </c>
      <c r="P131" s="2" t="s">
        <v>2206</v>
      </c>
    </row>
    <row r="132" spans="1:16" ht="13.2" customHeight="1" x14ac:dyDescent="0.25">
      <c r="A132" s="2">
        <v>130</v>
      </c>
      <c r="B132" s="2" t="s">
        <v>21295</v>
      </c>
      <c r="C132" s="2"/>
      <c r="D132" s="2" t="s">
        <v>21296</v>
      </c>
      <c r="E132" s="2" t="s">
        <v>6775</v>
      </c>
      <c r="F132" s="2" t="s">
        <v>21233</v>
      </c>
      <c r="G132" s="2" t="s">
        <v>3021</v>
      </c>
      <c r="H132" s="2" t="s">
        <v>21297</v>
      </c>
      <c r="I132" s="2">
        <v>1</v>
      </c>
      <c r="J132" s="2" t="s">
        <v>21298</v>
      </c>
      <c r="K132" s="2"/>
      <c r="L132" s="2" t="s">
        <v>20522</v>
      </c>
      <c r="M132" s="2" t="s">
        <v>72</v>
      </c>
      <c r="N132" s="2" t="s">
        <v>21299</v>
      </c>
      <c r="O132" s="2" t="s">
        <v>164</v>
      </c>
      <c r="P132" s="2" t="s">
        <v>2206</v>
      </c>
    </row>
    <row r="133" spans="1:16" ht="13.2" customHeight="1" x14ac:dyDescent="0.25">
      <c r="A133" s="2">
        <v>131</v>
      </c>
      <c r="B133" s="2" t="s">
        <v>21300</v>
      </c>
      <c r="C133" s="2"/>
      <c r="D133" s="2" t="s">
        <v>21301</v>
      </c>
      <c r="E133" s="2" t="s">
        <v>21302</v>
      </c>
      <c r="F133" s="2" t="s">
        <v>21303</v>
      </c>
      <c r="G133" s="2" t="s">
        <v>21304</v>
      </c>
      <c r="H133" s="2" t="s">
        <v>21305</v>
      </c>
      <c r="I133" s="2">
        <v>1</v>
      </c>
      <c r="J133" s="2" t="s">
        <v>21306</v>
      </c>
      <c r="K133" s="2"/>
      <c r="L133" s="2" t="s">
        <v>20522</v>
      </c>
      <c r="M133" s="2" t="s">
        <v>72</v>
      </c>
      <c r="N133" s="2" t="s">
        <v>21307</v>
      </c>
      <c r="O133" s="2" t="s">
        <v>164</v>
      </c>
      <c r="P133" s="2" t="s">
        <v>2206</v>
      </c>
    </row>
    <row r="134" spans="1:16" ht="13.2" customHeight="1" x14ac:dyDescent="0.25">
      <c r="A134" s="2">
        <v>132</v>
      </c>
      <c r="B134" s="2" t="s">
        <v>21308</v>
      </c>
      <c r="C134" s="2"/>
      <c r="D134" s="2" t="s">
        <v>21309</v>
      </c>
      <c r="E134" s="2" t="s">
        <v>21301</v>
      </c>
      <c r="F134" s="2" t="s">
        <v>21310</v>
      </c>
      <c r="G134" s="2" t="s">
        <v>21311</v>
      </c>
      <c r="H134" s="2" t="s">
        <v>21312</v>
      </c>
      <c r="I134" s="2">
        <v>1</v>
      </c>
      <c r="J134" s="2" t="s">
        <v>21313</v>
      </c>
      <c r="K134" s="2"/>
      <c r="L134" s="2" t="s">
        <v>20522</v>
      </c>
      <c r="M134" s="2" t="s">
        <v>72</v>
      </c>
      <c r="N134" s="2" t="s">
        <v>21314</v>
      </c>
      <c r="O134" s="2" t="s">
        <v>164</v>
      </c>
      <c r="P134" s="2" t="s">
        <v>2206</v>
      </c>
    </row>
    <row r="135" spans="1:16" ht="13.2" customHeight="1" x14ac:dyDescent="0.25">
      <c r="A135" s="2">
        <v>133</v>
      </c>
      <c r="B135" s="2" t="s">
        <v>21315</v>
      </c>
      <c r="C135" s="2"/>
      <c r="D135" s="2" t="s">
        <v>21316</v>
      </c>
      <c r="E135" s="2" t="s">
        <v>21317</v>
      </c>
      <c r="F135" s="2" t="s">
        <v>21318</v>
      </c>
      <c r="G135" s="2" t="s">
        <v>21319</v>
      </c>
      <c r="H135" s="2" t="s">
        <v>21320</v>
      </c>
      <c r="I135" s="2">
        <v>1</v>
      </c>
      <c r="J135" s="2" t="s">
        <v>21321</v>
      </c>
      <c r="K135" s="2"/>
      <c r="L135" s="2" t="s">
        <v>21058</v>
      </c>
      <c r="M135" s="2" t="s">
        <v>72</v>
      </c>
      <c r="N135" s="2" t="s">
        <v>21322</v>
      </c>
      <c r="O135" s="2" t="s">
        <v>164</v>
      </c>
      <c r="P135" s="2" t="s">
        <v>2206</v>
      </c>
    </row>
    <row r="136" spans="1:16" ht="13.2" customHeight="1" x14ac:dyDescent="0.25">
      <c r="A136" s="2">
        <v>134</v>
      </c>
      <c r="B136" s="2" t="s">
        <v>21323</v>
      </c>
      <c r="C136" s="2"/>
      <c r="D136" s="2" t="s">
        <v>21324</v>
      </c>
      <c r="E136" s="2" t="s">
        <v>21325</v>
      </c>
      <c r="F136" s="2" t="s">
        <v>21326</v>
      </c>
      <c r="G136" s="2" t="s">
        <v>21327</v>
      </c>
      <c r="H136" s="2" t="s">
        <v>21328</v>
      </c>
      <c r="I136" s="2">
        <v>1</v>
      </c>
      <c r="J136" s="2" t="s">
        <v>21329</v>
      </c>
      <c r="K136" s="2"/>
      <c r="L136" s="2" t="s">
        <v>20522</v>
      </c>
      <c r="M136" s="2" t="s">
        <v>72</v>
      </c>
      <c r="N136" s="2" t="s">
        <v>21330</v>
      </c>
      <c r="O136" s="2" t="s">
        <v>164</v>
      </c>
      <c r="P136" s="2" t="s">
        <v>2206</v>
      </c>
    </row>
    <row r="137" spans="1:16" ht="13.2" customHeight="1" x14ac:dyDescent="0.25">
      <c r="A137" s="2">
        <v>135</v>
      </c>
      <c r="B137" s="2" t="s">
        <v>21331</v>
      </c>
      <c r="C137" s="2"/>
      <c r="D137" s="2" t="s">
        <v>21332</v>
      </c>
      <c r="E137" s="2" t="s">
        <v>21333</v>
      </c>
      <c r="F137" s="2" t="s">
        <v>21334</v>
      </c>
      <c r="G137" s="2" t="s">
        <v>21335</v>
      </c>
      <c r="H137" s="2" t="s">
        <v>21336</v>
      </c>
      <c r="I137" s="2">
        <v>1</v>
      </c>
      <c r="J137" s="2" t="s">
        <v>21337</v>
      </c>
      <c r="K137" s="2"/>
      <c r="L137" s="2" t="s">
        <v>20522</v>
      </c>
      <c r="M137" s="2" t="s">
        <v>72</v>
      </c>
      <c r="N137" s="2" t="s">
        <v>21338</v>
      </c>
      <c r="O137" s="2" t="s">
        <v>164</v>
      </c>
      <c r="P137" s="2" t="s">
        <v>2271</v>
      </c>
    </row>
    <row r="138" spans="1:16" ht="13.2" customHeight="1" x14ac:dyDescent="0.25">
      <c r="A138" s="2">
        <v>136</v>
      </c>
      <c r="B138" s="2" t="s">
        <v>21339</v>
      </c>
      <c r="C138" s="2"/>
      <c r="D138" s="2" t="s">
        <v>18572</v>
      </c>
      <c r="E138" s="2" t="s">
        <v>18573</v>
      </c>
      <c r="F138" s="2" t="s">
        <v>18574</v>
      </c>
      <c r="G138" s="2" t="s">
        <v>21340</v>
      </c>
      <c r="H138" s="2" t="s">
        <v>18576</v>
      </c>
      <c r="I138" s="2">
        <v>1</v>
      </c>
      <c r="J138" s="2" t="s">
        <v>21341</v>
      </c>
      <c r="K138" s="2"/>
      <c r="L138" s="2" t="s">
        <v>20522</v>
      </c>
      <c r="M138" s="2" t="s">
        <v>72</v>
      </c>
      <c r="N138" s="2" t="s">
        <v>21342</v>
      </c>
      <c r="O138" s="2" t="s">
        <v>164</v>
      </c>
      <c r="P138" s="2" t="s">
        <v>2271</v>
      </c>
    </row>
    <row r="139" spans="1:16" ht="13.2" customHeight="1" x14ac:dyDescent="0.25">
      <c r="A139" s="2">
        <v>137</v>
      </c>
      <c r="B139" s="2" t="s">
        <v>21343</v>
      </c>
      <c r="C139" s="2"/>
      <c r="D139" s="2" t="s">
        <v>21344</v>
      </c>
      <c r="E139" s="2" t="s">
        <v>21345</v>
      </c>
      <c r="F139" s="2" t="s">
        <v>21346</v>
      </c>
      <c r="G139" s="2" t="s">
        <v>21347</v>
      </c>
      <c r="H139" s="2" t="s">
        <v>21348</v>
      </c>
      <c r="I139" s="2">
        <v>1</v>
      </c>
      <c r="J139" s="2" t="s">
        <v>21349</v>
      </c>
      <c r="K139" s="2"/>
      <c r="L139" s="2" t="s">
        <v>20522</v>
      </c>
      <c r="M139" s="2" t="s">
        <v>72</v>
      </c>
      <c r="N139" s="2" t="s">
        <v>21350</v>
      </c>
      <c r="O139" s="2" t="s">
        <v>164</v>
      </c>
      <c r="P139" s="2" t="s">
        <v>2271</v>
      </c>
    </row>
    <row r="140" spans="1:16" ht="13.2" customHeight="1" x14ac:dyDescent="0.25">
      <c r="A140" s="2">
        <v>138</v>
      </c>
      <c r="B140" s="2" t="s">
        <v>21351</v>
      </c>
      <c r="C140" s="2"/>
      <c r="D140" s="2" t="s">
        <v>21352</v>
      </c>
      <c r="E140" s="2" t="s">
        <v>21353</v>
      </c>
      <c r="F140" s="2" t="s">
        <v>21354</v>
      </c>
      <c r="G140" s="2" t="s">
        <v>21355</v>
      </c>
      <c r="H140" s="2" t="s">
        <v>21356</v>
      </c>
      <c r="I140" s="2">
        <v>1</v>
      </c>
      <c r="J140" s="2" t="s">
        <v>21357</v>
      </c>
      <c r="K140" s="2"/>
      <c r="L140" s="2" t="s">
        <v>20522</v>
      </c>
      <c r="M140" s="2" t="s">
        <v>72</v>
      </c>
      <c r="N140" s="2" t="s">
        <v>21358</v>
      </c>
      <c r="O140" s="2" t="s">
        <v>164</v>
      </c>
      <c r="P140" s="2" t="s">
        <v>2271</v>
      </c>
    </row>
    <row r="141" spans="1:16" ht="13.2" customHeight="1" x14ac:dyDescent="0.25">
      <c r="A141" s="2">
        <v>139</v>
      </c>
      <c r="B141" s="2" t="s">
        <v>21359</v>
      </c>
      <c r="C141" s="2"/>
      <c r="D141" s="2" t="s">
        <v>21360</v>
      </c>
      <c r="E141" s="2" t="s">
        <v>6955</v>
      </c>
      <c r="F141" s="2" t="s">
        <v>11674</v>
      </c>
      <c r="G141" s="2" t="s">
        <v>21361</v>
      </c>
      <c r="H141" s="2" t="s">
        <v>21362</v>
      </c>
      <c r="I141" s="2">
        <v>1</v>
      </c>
      <c r="J141" s="2" t="s">
        <v>21363</v>
      </c>
      <c r="K141" s="2"/>
      <c r="L141" s="2" t="s">
        <v>20522</v>
      </c>
      <c r="M141" s="2" t="s">
        <v>72</v>
      </c>
      <c r="N141" s="2" t="s">
        <v>21364</v>
      </c>
      <c r="O141" s="2" t="s">
        <v>164</v>
      </c>
      <c r="P141" s="2" t="s">
        <v>2271</v>
      </c>
    </row>
    <row r="142" spans="1:16" ht="13.2" customHeight="1" x14ac:dyDescent="0.25">
      <c r="A142" s="2">
        <v>140</v>
      </c>
      <c r="B142" s="2" t="s">
        <v>21365</v>
      </c>
      <c r="C142" s="2"/>
      <c r="D142" s="2" t="s">
        <v>21366</v>
      </c>
      <c r="E142" s="2" t="s">
        <v>21367</v>
      </c>
      <c r="F142" s="2" t="s">
        <v>21368</v>
      </c>
      <c r="G142" s="2" t="s">
        <v>21369</v>
      </c>
      <c r="H142" s="2" t="s">
        <v>21370</v>
      </c>
      <c r="I142" s="2">
        <v>1</v>
      </c>
      <c r="J142" s="2" t="s">
        <v>21371</v>
      </c>
      <c r="K142" s="2"/>
      <c r="L142" s="2" t="s">
        <v>20522</v>
      </c>
      <c r="M142" s="2" t="s">
        <v>72</v>
      </c>
      <c r="N142" s="2" t="s">
        <v>21372</v>
      </c>
      <c r="O142" s="2" t="s">
        <v>164</v>
      </c>
      <c r="P142" s="2" t="s">
        <v>2271</v>
      </c>
    </row>
    <row r="143" spans="1:16" ht="13.2" customHeight="1" x14ac:dyDescent="0.25">
      <c r="A143" s="2">
        <v>141</v>
      </c>
      <c r="B143" s="2" t="s">
        <v>21373</v>
      </c>
      <c r="C143" s="2"/>
      <c r="D143" s="2" t="s">
        <v>14033</v>
      </c>
      <c r="E143" s="2" t="s">
        <v>14034</v>
      </c>
      <c r="F143" s="2" t="s">
        <v>14035</v>
      </c>
      <c r="G143" s="2" t="s">
        <v>14036</v>
      </c>
      <c r="H143" s="2" t="s">
        <v>14037</v>
      </c>
      <c r="I143" s="2">
        <v>1</v>
      </c>
      <c r="J143" s="2" t="s">
        <v>21374</v>
      </c>
      <c r="K143" s="2"/>
      <c r="L143" s="2" t="s">
        <v>20522</v>
      </c>
      <c r="M143" s="2" t="s">
        <v>72</v>
      </c>
      <c r="N143" s="2" t="s">
        <v>21375</v>
      </c>
      <c r="O143" s="2" t="s">
        <v>164</v>
      </c>
      <c r="P143" s="2" t="s">
        <v>2271</v>
      </c>
    </row>
    <row r="144" spans="1:16" ht="13.2" customHeight="1" x14ac:dyDescent="0.25">
      <c r="A144" s="2">
        <v>142</v>
      </c>
      <c r="B144" s="2" t="s">
        <v>21376</v>
      </c>
      <c r="C144" s="2"/>
      <c r="D144" s="2" t="s">
        <v>21377</v>
      </c>
      <c r="E144" s="2" t="s">
        <v>21378</v>
      </c>
      <c r="F144" s="2" t="s">
        <v>21379</v>
      </c>
      <c r="G144" s="2" t="s">
        <v>21380</v>
      </c>
      <c r="H144" s="2" t="s">
        <v>21381</v>
      </c>
      <c r="I144" s="2">
        <v>1</v>
      </c>
      <c r="J144" s="2" t="s">
        <v>21382</v>
      </c>
      <c r="K144" s="2"/>
      <c r="L144" s="2" t="s">
        <v>20522</v>
      </c>
      <c r="M144" s="2" t="s">
        <v>72</v>
      </c>
      <c r="N144" s="2" t="s">
        <v>21383</v>
      </c>
      <c r="O144" s="2" t="s">
        <v>164</v>
      </c>
      <c r="P144" s="2" t="s">
        <v>2271</v>
      </c>
    </row>
    <row r="145" spans="1:16" ht="13.2" customHeight="1" x14ac:dyDescent="0.25">
      <c r="A145" s="2">
        <v>143</v>
      </c>
      <c r="B145" s="2" t="s">
        <v>21384</v>
      </c>
      <c r="C145" s="2"/>
      <c r="D145" s="2" t="s">
        <v>21385</v>
      </c>
      <c r="E145" s="2" t="s">
        <v>21386</v>
      </c>
      <c r="F145" s="2" t="s">
        <v>21387</v>
      </c>
      <c r="G145" s="2" t="s">
        <v>21388</v>
      </c>
      <c r="H145" s="2" t="s">
        <v>21389</v>
      </c>
      <c r="I145" s="2">
        <v>1</v>
      </c>
      <c r="J145" s="2" t="s">
        <v>21390</v>
      </c>
      <c r="K145" s="2"/>
      <c r="L145" s="2" t="s">
        <v>20522</v>
      </c>
      <c r="M145" s="2" t="s">
        <v>72</v>
      </c>
      <c r="N145" s="2" t="s">
        <v>21391</v>
      </c>
      <c r="O145" s="2" t="s">
        <v>164</v>
      </c>
      <c r="P145" s="2" t="s">
        <v>2271</v>
      </c>
    </row>
    <row r="146" spans="1:16" ht="13.2" customHeight="1" x14ac:dyDescent="0.25">
      <c r="A146" s="2">
        <v>144</v>
      </c>
      <c r="B146" s="2" t="s">
        <v>21392</v>
      </c>
      <c r="C146" s="2"/>
      <c r="D146" s="2" t="s">
        <v>21393</v>
      </c>
      <c r="E146" s="2" t="s">
        <v>21394</v>
      </c>
      <c r="F146" s="2" t="s">
        <v>21395</v>
      </c>
      <c r="G146" s="2" t="s">
        <v>21396</v>
      </c>
      <c r="H146" s="2" t="s">
        <v>21397</v>
      </c>
      <c r="I146" s="2">
        <v>1</v>
      </c>
      <c r="J146" s="2" t="s">
        <v>21398</v>
      </c>
      <c r="K146" s="2"/>
      <c r="L146" s="2" t="s">
        <v>20522</v>
      </c>
      <c r="M146" s="2" t="s">
        <v>72</v>
      </c>
      <c r="N146" s="2" t="s">
        <v>21399</v>
      </c>
      <c r="O146" s="2" t="s">
        <v>164</v>
      </c>
      <c r="P146" s="2" t="s">
        <v>2271</v>
      </c>
    </row>
    <row r="147" spans="1:16" ht="13.2" customHeight="1" x14ac:dyDescent="0.25">
      <c r="A147" s="2">
        <v>145</v>
      </c>
      <c r="B147" s="2" t="s">
        <v>21400</v>
      </c>
      <c r="C147" s="2"/>
      <c r="D147" s="2" t="s">
        <v>21401</v>
      </c>
      <c r="E147" s="2" t="s">
        <v>21402</v>
      </c>
      <c r="F147" s="2" t="s">
        <v>21403</v>
      </c>
      <c r="G147" s="2" t="s">
        <v>21404</v>
      </c>
      <c r="H147" s="2" t="s">
        <v>21405</v>
      </c>
      <c r="I147" s="2">
        <v>1</v>
      </c>
      <c r="J147" s="2" t="s">
        <v>21406</v>
      </c>
      <c r="K147" s="2"/>
      <c r="L147" s="2" t="s">
        <v>20522</v>
      </c>
      <c r="M147" s="2" t="s">
        <v>72</v>
      </c>
      <c r="N147" s="2" t="s">
        <v>6134</v>
      </c>
      <c r="O147" s="2" t="s">
        <v>164</v>
      </c>
      <c r="P147" s="2" t="s">
        <v>2317</v>
      </c>
    </row>
    <row r="148" spans="1:16" ht="13.2" customHeight="1" x14ac:dyDescent="0.25">
      <c r="A148" s="2">
        <v>146</v>
      </c>
      <c r="B148" s="2" t="s">
        <v>21407</v>
      </c>
      <c r="C148" s="2"/>
      <c r="D148" s="2" t="s">
        <v>21296</v>
      </c>
      <c r="E148" s="2" t="s">
        <v>21408</v>
      </c>
      <c r="F148" s="2" t="s">
        <v>21409</v>
      </c>
      <c r="G148" s="2" t="s">
        <v>21410</v>
      </c>
      <c r="H148" s="2" t="s">
        <v>21411</v>
      </c>
      <c r="I148" s="2">
        <v>1</v>
      </c>
      <c r="J148" s="2" t="s">
        <v>21412</v>
      </c>
      <c r="K148" s="2"/>
      <c r="L148" s="2" t="s">
        <v>20522</v>
      </c>
      <c r="M148" s="2" t="s">
        <v>72</v>
      </c>
      <c r="N148" s="2" t="s">
        <v>2236</v>
      </c>
      <c r="O148" s="2" t="s">
        <v>164</v>
      </c>
      <c r="P148" s="2" t="s">
        <v>2317</v>
      </c>
    </row>
    <row r="149" spans="1:16" ht="13.2" customHeight="1" x14ac:dyDescent="0.25">
      <c r="A149" s="2">
        <v>147</v>
      </c>
      <c r="B149" s="2" t="s">
        <v>21413</v>
      </c>
      <c r="C149" s="2"/>
      <c r="D149" s="2" t="s">
        <v>21414</v>
      </c>
      <c r="E149" s="2" t="s">
        <v>21415</v>
      </c>
      <c r="F149" s="2" t="s">
        <v>21416</v>
      </c>
      <c r="G149" s="2" t="s">
        <v>21417</v>
      </c>
      <c r="H149" s="2" t="s">
        <v>21418</v>
      </c>
      <c r="I149" s="2">
        <v>1</v>
      </c>
      <c r="J149" s="2" t="s">
        <v>21419</v>
      </c>
      <c r="K149" s="2"/>
      <c r="L149" s="2" t="s">
        <v>21058</v>
      </c>
      <c r="M149" s="2" t="s">
        <v>72</v>
      </c>
      <c r="N149" s="2" t="s">
        <v>2241</v>
      </c>
      <c r="O149" s="2" t="s">
        <v>164</v>
      </c>
      <c r="P149" s="2" t="s">
        <v>2317</v>
      </c>
    </row>
    <row r="150" spans="1:16" ht="13.2" customHeight="1" x14ac:dyDescent="0.25">
      <c r="A150" s="2">
        <v>148</v>
      </c>
      <c r="B150" s="2" t="s">
        <v>21420</v>
      </c>
      <c r="C150" s="2"/>
      <c r="D150" s="2" t="s">
        <v>21421</v>
      </c>
      <c r="E150" s="2" t="s">
        <v>21422</v>
      </c>
      <c r="F150" s="2" t="s">
        <v>21423</v>
      </c>
      <c r="G150" s="2" t="s">
        <v>21424</v>
      </c>
      <c r="H150" s="2" t="s">
        <v>21425</v>
      </c>
      <c r="I150" s="2">
        <v>1</v>
      </c>
      <c r="J150" s="2" t="s">
        <v>21426</v>
      </c>
      <c r="K150" s="2"/>
      <c r="L150" s="2" t="s">
        <v>20522</v>
      </c>
      <c r="M150" s="2" t="s">
        <v>72</v>
      </c>
      <c r="N150" s="2" t="s">
        <v>2263</v>
      </c>
      <c r="O150" s="2" t="s">
        <v>164</v>
      </c>
      <c r="P150" s="2" t="s">
        <v>2317</v>
      </c>
    </row>
    <row r="151" spans="1:16" ht="13.2" customHeight="1" x14ac:dyDescent="0.25">
      <c r="A151" s="2">
        <v>149</v>
      </c>
      <c r="B151" s="2" t="s">
        <v>21427</v>
      </c>
      <c r="C151" s="2"/>
      <c r="D151" s="2" t="s">
        <v>21428</v>
      </c>
      <c r="E151" s="2" t="s">
        <v>21178</v>
      </c>
      <c r="F151" s="2" t="s">
        <v>21179</v>
      </c>
      <c r="G151" s="2" t="s">
        <v>21165</v>
      </c>
      <c r="H151" s="2" t="s">
        <v>21166</v>
      </c>
      <c r="I151" s="2">
        <v>1</v>
      </c>
      <c r="J151" s="2" t="s">
        <v>21429</v>
      </c>
      <c r="K151" s="2"/>
      <c r="L151" s="2" t="s">
        <v>20522</v>
      </c>
      <c r="M151" s="2" t="s">
        <v>72</v>
      </c>
      <c r="N151" s="2" t="s">
        <v>2222</v>
      </c>
      <c r="O151" s="2" t="s">
        <v>164</v>
      </c>
      <c r="P151" s="2" t="s">
        <v>2317</v>
      </c>
    </row>
    <row r="152" spans="1:16" ht="13.2" customHeight="1" x14ac:dyDescent="0.25">
      <c r="A152" s="2">
        <v>150</v>
      </c>
      <c r="B152" s="2" t="s">
        <v>21430</v>
      </c>
      <c r="C152" s="2"/>
      <c r="D152" s="2" t="s">
        <v>21431</v>
      </c>
      <c r="E152" s="2" t="s">
        <v>21432</v>
      </c>
      <c r="F152" s="2" t="s">
        <v>21433</v>
      </c>
      <c r="G152" s="2" t="s">
        <v>21434</v>
      </c>
      <c r="H152" s="2" t="s">
        <v>21435</v>
      </c>
      <c r="I152" s="2">
        <v>1</v>
      </c>
      <c r="J152" s="2" t="s">
        <v>21436</v>
      </c>
      <c r="K152" s="2"/>
      <c r="L152" s="2" t="s">
        <v>20522</v>
      </c>
      <c r="M152" s="2" t="s">
        <v>72</v>
      </c>
      <c r="N152" s="2" t="s">
        <v>2228</v>
      </c>
      <c r="O152" s="2" t="s">
        <v>164</v>
      </c>
      <c r="P152" s="2" t="s">
        <v>2317</v>
      </c>
    </row>
    <row r="153" spans="1:16" ht="13.2" customHeight="1" x14ac:dyDescent="0.25">
      <c r="A153" s="2">
        <v>151</v>
      </c>
      <c r="B153" s="2" t="s">
        <v>21437</v>
      </c>
      <c r="C153" s="2"/>
      <c r="D153" s="2" t="s">
        <v>21168</v>
      </c>
      <c r="E153" s="2" t="s">
        <v>21171</v>
      </c>
      <c r="F153" s="2" t="s">
        <v>21172</v>
      </c>
      <c r="G153" s="2" t="s">
        <v>21173</v>
      </c>
      <c r="H153" s="2" t="s">
        <v>21177</v>
      </c>
      <c r="I153" s="2">
        <v>1</v>
      </c>
      <c r="J153" s="2" t="s">
        <v>21438</v>
      </c>
      <c r="K153" s="2"/>
      <c r="L153" s="2" t="s">
        <v>20522</v>
      </c>
      <c r="M153" s="2" t="s">
        <v>72</v>
      </c>
      <c r="N153" s="2" t="s">
        <v>21439</v>
      </c>
      <c r="O153" s="2" t="s">
        <v>164</v>
      </c>
      <c r="P153" s="2" t="s">
        <v>2317</v>
      </c>
    </row>
    <row r="154" spans="1:16" ht="13.2" customHeight="1" x14ac:dyDescent="0.25">
      <c r="A154" s="2">
        <v>152</v>
      </c>
      <c r="B154" s="2" t="s">
        <v>21440</v>
      </c>
      <c r="C154" s="2"/>
      <c r="D154" s="2" t="s">
        <v>2983</v>
      </c>
      <c r="E154" s="2" t="s">
        <v>1458</v>
      </c>
      <c r="F154" s="2" t="s">
        <v>14987</v>
      </c>
      <c r="G154" s="2" t="s">
        <v>14988</v>
      </c>
      <c r="H154" s="2" t="s">
        <v>21441</v>
      </c>
      <c r="I154" s="2">
        <v>1</v>
      </c>
      <c r="J154" s="2" t="s">
        <v>21442</v>
      </c>
      <c r="K154" s="2"/>
      <c r="L154" s="2" t="s">
        <v>20522</v>
      </c>
      <c r="M154" s="2" t="s">
        <v>72</v>
      </c>
      <c r="N154" s="2" t="s">
        <v>21443</v>
      </c>
      <c r="O154" s="2" t="s">
        <v>164</v>
      </c>
      <c r="P154" s="2" t="s">
        <v>2514</v>
      </c>
    </row>
    <row r="155" spans="1:16" ht="13.2" customHeight="1" x14ac:dyDescent="0.25">
      <c r="A155" s="2">
        <v>153</v>
      </c>
      <c r="B155" s="2" t="s">
        <v>21444</v>
      </c>
      <c r="C155" s="2"/>
      <c r="D155" s="2" t="s">
        <v>21445</v>
      </c>
      <c r="E155" s="2" t="s">
        <v>21446</v>
      </c>
      <c r="F155" s="2" t="s">
        <v>21447</v>
      </c>
      <c r="G155" s="2" t="s">
        <v>21448</v>
      </c>
      <c r="H155" s="2" t="s">
        <v>21449</v>
      </c>
      <c r="I155" s="2">
        <v>1</v>
      </c>
      <c r="J155" s="2" t="s">
        <v>21450</v>
      </c>
      <c r="K155" s="2"/>
      <c r="L155" s="2" t="s">
        <v>20522</v>
      </c>
      <c r="M155" s="2" t="s">
        <v>72</v>
      </c>
      <c r="N155" s="2" t="s">
        <v>21451</v>
      </c>
      <c r="O155" s="2" t="s">
        <v>164</v>
      </c>
      <c r="P155" s="2" t="s">
        <v>2514</v>
      </c>
    </row>
    <row r="156" spans="1:16" ht="13.2" customHeight="1" x14ac:dyDescent="0.25">
      <c r="A156" s="2">
        <v>154</v>
      </c>
      <c r="B156" s="2" t="s">
        <v>21452</v>
      </c>
      <c r="C156" s="2"/>
      <c r="D156" s="2" t="s">
        <v>21453</v>
      </c>
      <c r="E156" s="2" t="s">
        <v>21454</v>
      </c>
      <c r="F156" s="2" t="s">
        <v>21455</v>
      </c>
      <c r="G156" s="2" t="s">
        <v>21456</v>
      </c>
      <c r="H156" s="2" t="s">
        <v>21457</v>
      </c>
      <c r="I156" s="2">
        <v>1</v>
      </c>
      <c r="J156" s="2" t="s">
        <v>21458</v>
      </c>
      <c r="K156" s="2"/>
      <c r="L156" s="2" t="s">
        <v>20522</v>
      </c>
      <c r="M156" s="2" t="s">
        <v>72</v>
      </c>
      <c r="N156" s="2" t="s">
        <v>21459</v>
      </c>
      <c r="O156" s="2" t="s">
        <v>164</v>
      </c>
      <c r="P156" s="2" t="s">
        <v>2514</v>
      </c>
    </row>
    <row r="157" spans="1:16" ht="13.2" customHeight="1" x14ac:dyDescent="0.25">
      <c r="A157" s="2">
        <v>155</v>
      </c>
      <c r="B157" s="2" t="s">
        <v>21460</v>
      </c>
      <c r="C157" s="2"/>
      <c r="D157" s="2" t="s">
        <v>21461</v>
      </c>
      <c r="E157" s="2" t="s">
        <v>21462</v>
      </c>
      <c r="F157" s="2" t="s">
        <v>21463</v>
      </c>
      <c r="G157" s="2" t="s">
        <v>21464</v>
      </c>
      <c r="H157" s="2" t="s">
        <v>21465</v>
      </c>
      <c r="I157" s="2">
        <v>1</v>
      </c>
      <c r="J157" s="2" t="s">
        <v>21466</v>
      </c>
      <c r="K157" s="2"/>
      <c r="L157" s="2" t="s">
        <v>20522</v>
      </c>
      <c r="M157" s="2" t="s">
        <v>72</v>
      </c>
      <c r="N157" s="2" t="s">
        <v>2381</v>
      </c>
      <c r="O157" s="2" t="s">
        <v>164</v>
      </c>
      <c r="P157" s="2" t="s">
        <v>2514</v>
      </c>
    </row>
    <row r="158" spans="1:16" ht="13.2" customHeight="1" x14ac:dyDescent="0.25">
      <c r="A158" s="2">
        <v>156</v>
      </c>
      <c r="B158" s="2" t="s">
        <v>21467</v>
      </c>
      <c r="C158" s="2"/>
      <c r="D158" s="2" t="s">
        <v>21468</v>
      </c>
      <c r="E158" s="2" t="s">
        <v>21469</v>
      </c>
      <c r="F158" s="2" t="s">
        <v>21470</v>
      </c>
      <c r="G158" s="2" t="s">
        <v>21471</v>
      </c>
      <c r="H158" s="2" t="s">
        <v>21472</v>
      </c>
      <c r="I158" s="2">
        <v>1</v>
      </c>
      <c r="J158" s="2" t="s">
        <v>21473</v>
      </c>
      <c r="K158" s="2"/>
      <c r="L158" s="2" t="s">
        <v>20522</v>
      </c>
      <c r="M158" s="2" t="s">
        <v>72</v>
      </c>
      <c r="N158" s="2" t="s">
        <v>21474</v>
      </c>
      <c r="O158" s="2" t="s">
        <v>164</v>
      </c>
      <c r="P158" s="2" t="s">
        <v>2514</v>
      </c>
    </row>
    <row r="159" spans="1:16" ht="13.2" customHeight="1" x14ac:dyDescent="0.25">
      <c r="A159" s="2">
        <v>157</v>
      </c>
      <c r="B159" s="2" t="s">
        <v>21475</v>
      </c>
      <c r="C159" s="2"/>
      <c r="D159" s="2" t="s">
        <v>4740</v>
      </c>
      <c r="E159" s="2" t="s">
        <v>15709</v>
      </c>
      <c r="F159" s="2" t="s">
        <v>10342</v>
      </c>
      <c r="G159" s="2" t="s">
        <v>21476</v>
      </c>
      <c r="H159" s="2" t="s">
        <v>781</v>
      </c>
      <c r="I159" s="2">
        <v>1</v>
      </c>
      <c r="J159" s="2" t="s">
        <v>21477</v>
      </c>
      <c r="K159" s="2"/>
      <c r="L159" s="2" t="s">
        <v>20522</v>
      </c>
      <c r="M159" s="2" t="s">
        <v>72</v>
      </c>
      <c r="N159" s="2" t="s">
        <v>21478</v>
      </c>
      <c r="O159" s="2" t="s">
        <v>816</v>
      </c>
      <c r="P159" s="2" t="s">
        <v>2629</v>
      </c>
    </row>
    <row r="160" spans="1:16" ht="13.2" customHeight="1" x14ac:dyDescent="0.25">
      <c r="A160" s="2">
        <v>158</v>
      </c>
      <c r="B160" s="2" t="s">
        <v>21479</v>
      </c>
      <c r="C160" s="2"/>
      <c r="D160" s="2" t="s">
        <v>21480</v>
      </c>
      <c r="E160" s="2" t="s">
        <v>21481</v>
      </c>
      <c r="F160" s="2" t="s">
        <v>21482</v>
      </c>
      <c r="G160" s="2" t="s">
        <v>21483</v>
      </c>
      <c r="H160" s="2" t="s">
        <v>21484</v>
      </c>
      <c r="I160" s="2">
        <v>1</v>
      </c>
      <c r="J160" s="2" t="s">
        <v>21485</v>
      </c>
      <c r="K160" s="2"/>
      <c r="L160" s="2" t="s">
        <v>20522</v>
      </c>
      <c r="M160" s="2" t="s">
        <v>72</v>
      </c>
      <c r="N160" s="2" t="s">
        <v>21486</v>
      </c>
      <c r="O160" s="2" t="s">
        <v>816</v>
      </c>
      <c r="P160" s="2" t="s">
        <v>2629</v>
      </c>
    </row>
    <row r="161" spans="1:16" ht="13.2" customHeight="1" x14ac:dyDescent="0.25">
      <c r="A161" s="2">
        <v>159</v>
      </c>
      <c r="B161" s="2" t="s">
        <v>21487</v>
      </c>
      <c r="C161" s="2"/>
      <c r="D161" s="2" t="s">
        <v>21488</v>
      </c>
      <c r="E161" s="2" t="s">
        <v>21489</v>
      </c>
      <c r="F161" s="2" t="s">
        <v>21490</v>
      </c>
      <c r="G161" s="2" t="s">
        <v>21491</v>
      </c>
      <c r="H161" s="2" t="s">
        <v>21492</v>
      </c>
      <c r="I161" s="2">
        <v>1</v>
      </c>
      <c r="J161" s="2" t="s">
        <v>21493</v>
      </c>
      <c r="K161" s="2"/>
      <c r="L161" s="2" t="s">
        <v>20522</v>
      </c>
      <c r="M161" s="2" t="s">
        <v>72</v>
      </c>
      <c r="N161" s="2" t="s">
        <v>21494</v>
      </c>
      <c r="O161" s="2" t="s">
        <v>816</v>
      </c>
      <c r="P161" s="2" t="s">
        <v>2629</v>
      </c>
    </row>
    <row r="162" spans="1:16" ht="13.2" customHeight="1" x14ac:dyDescent="0.25">
      <c r="A162" s="2">
        <v>160</v>
      </c>
      <c r="B162" s="2" t="s">
        <v>21495</v>
      </c>
      <c r="C162" s="2"/>
      <c r="D162" s="2" t="s">
        <v>21496</v>
      </c>
      <c r="E162" s="2" t="s">
        <v>21497</v>
      </c>
      <c r="F162" s="2" t="s">
        <v>21498</v>
      </c>
      <c r="G162" s="2" t="s">
        <v>21499</v>
      </c>
      <c r="H162" s="2" t="s">
        <v>21500</v>
      </c>
      <c r="I162" s="2">
        <v>1</v>
      </c>
      <c r="J162" s="2" t="s">
        <v>21501</v>
      </c>
      <c r="K162" s="2"/>
      <c r="L162" s="2" t="s">
        <v>20522</v>
      </c>
      <c r="M162" s="2" t="s">
        <v>72</v>
      </c>
      <c r="N162" s="2" t="s">
        <v>21502</v>
      </c>
      <c r="O162" s="2" t="s">
        <v>816</v>
      </c>
      <c r="P162" s="2" t="s">
        <v>2629</v>
      </c>
    </row>
    <row r="163" spans="1:16" ht="13.2" customHeight="1" x14ac:dyDescent="0.25">
      <c r="A163" s="2">
        <v>161</v>
      </c>
      <c r="B163" s="2" t="s">
        <v>21503</v>
      </c>
      <c r="C163" s="2"/>
      <c r="D163" s="2" t="s">
        <v>21504</v>
      </c>
      <c r="E163" s="2" t="s">
        <v>21505</v>
      </c>
      <c r="F163" s="2" t="s">
        <v>21506</v>
      </c>
      <c r="G163" s="2" t="s">
        <v>21507</v>
      </c>
      <c r="H163" s="2" t="s">
        <v>21508</v>
      </c>
      <c r="I163" s="2">
        <v>1</v>
      </c>
      <c r="J163" s="2" t="s">
        <v>21509</v>
      </c>
      <c r="K163" s="2"/>
      <c r="L163" s="2" t="s">
        <v>20522</v>
      </c>
      <c r="M163" s="2" t="s">
        <v>72</v>
      </c>
      <c r="N163" s="2" t="s">
        <v>21510</v>
      </c>
      <c r="O163" s="2" t="s">
        <v>816</v>
      </c>
      <c r="P163" s="2" t="s">
        <v>2629</v>
      </c>
    </row>
    <row r="164" spans="1:16" ht="13.2" customHeight="1" x14ac:dyDescent="0.25">
      <c r="A164" s="2">
        <v>162</v>
      </c>
      <c r="B164" s="2" t="s">
        <v>21511</v>
      </c>
      <c r="C164" s="2"/>
      <c r="D164" s="2" t="s">
        <v>21512</v>
      </c>
      <c r="E164" s="2" t="s">
        <v>21513</v>
      </c>
      <c r="F164" s="2" t="s">
        <v>21514</v>
      </c>
      <c r="G164" s="2" t="s">
        <v>21515</v>
      </c>
      <c r="H164" s="2" t="s">
        <v>21516</v>
      </c>
      <c r="I164" s="2">
        <v>1</v>
      </c>
      <c r="J164" s="2" t="s">
        <v>21517</v>
      </c>
      <c r="K164" s="2"/>
      <c r="L164" s="2" t="s">
        <v>20579</v>
      </c>
      <c r="M164" s="2" t="s">
        <v>72</v>
      </c>
      <c r="N164" s="2" t="s">
        <v>21518</v>
      </c>
      <c r="O164" s="2" t="s">
        <v>816</v>
      </c>
      <c r="P164" s="2" t="s">
        <v>2629</v>
      </c>
    </row>
    <row r="165" spans="1:16" ht="13.2" customHeight="1" x14ac:dyDescent="0.25">
      <c r="A165" s="2">
        <v>163</v>
      </c>
      <c r="B165" s="2" t="s">
        <v>21519</v>
      </c>
      <c r="C165" s="2"/>
      <c r="D165" s="2" t="s">
        <v>21520</v>
      </c>
      <c r="E165" s="2" t="s">
        <v>21521</v>
      </c>
      <c r="F165" s="2" t="s">
        <v>21522</v>
      </c>
      <c r="G165" s="2" t="s">
        <v>21523</v>
      </c>
      <c r="H165" s="2" t="s">
        <v>21524</v>
      </c>
      <c r="I165" s="2">
        <v>1</v>
      </c>
      <c r="J165" s="2" t="s">
        <v>21525</v>
      </c>
      <c r="K165" s="2"/>
      <c r="L165" s="2" t="s">
        <v>20522</v>
      </c>
      <c r="M165" s="2" t="s">
        <v>72</v>
      </c>
      <c r="N165" s="2" t="s">
        <v>21526</v>
      </c>
      <c r="O165" s="2" t="s">
        <v>816</v>
      </c>
      <c r="P165" s="2" t="s">
        <v>2629</v>
      </c>
    </row>
    <row r="166" spans="1:16" ht="13.2" customHeight="1" x14ac:dyDescent="0.25">
      <c r="A166" s="2">
        <v>164</v>
      </c>
      <c r="B166" s="2" t="s">
        <v>21527</v>
      </c>
      <c r="C166" s="2"/>
      <c r="D166" s="2" t="s">
        <v>21528</v>
      </c>
      <c r="E166" s="2" t="s">
        <v>21529</v>
      </c>
      <c r="F166" s="2" t="s">
        <v>21530</v>
      </c>
      <c r="G166" s="2" t="s">
        <v>21531</v>
      </c>
      <c r="H166" s="2" t="s">
        <v>21532</v>
      </c>
      <c r="I166" s="2">
        <v>1</v>
      </c>
      <c r="J166" s="2" t="s">
        <v>21533</v>
      </c>
      <c r="K166" s="2"/>
      <c r="L166" s="2" t="s">
        <v>20522</v>
      </c>
      <c r="M166" s="2" t="s">
        <v>72</v>
      </c>
      <c r="N166" s="2" t="s">
        <v>21534</v>
      </c>
      <c r="O166" s="2" t="s">
        <v>816</v>
      </c>
      <c r="P166" s="2" t="s">
        <v>2629</v>
      </c>
    </row>
    <row r="167" spans="1:16" ht="13.2" customHeight="1" x14ac:dyDescent="0.25">
      <c r="A167" s="2">
        <v>165</v>
      </c>
      <c r="B167" s="2" t="s">
        <v>21535</v>
      </c>
      <c r="C167" s="2"/>
      <c r="D167" s="2" t="s">
        <v>21536</v>
      </c>
      <c r="E167" s="2" t="s">
        <v>21537</v>
      </c>
      <c r="F167" s="2" t="s">
        <v>21538</v>
      </c>
      <c r="G167" s="2" t="s">
        <v>21539</v>
      </c>
      <c r="H167" s="2" t="s">
        <v>21540</v>
      </c>
      <c r="I167" s="2">
        <v>1</v>
      </c>
      <c r="J167" s="2" t="s">
        <v>21541</v>
      </c>
      <c r="K167" s="2"/>
      <c r="L167" s="2" t="s">
        <v>20522</v>
      </c>
      <c r="M167" s="2" t="s">
        <v>72</v>
      </c>
      <c r="N167" s="2" t="s">
        <v>21542</v>
      </c>
      <c r="O167" s="2" t="s">
        <v>816</v>
      </c>
      <c r="P167" s="2" t="s">
        <v>2704</v>
      </c>
    </row>
    <row r="168" spans="1:16" ht="13.2" customHeight="1" x14ac:dyDescent="0.25">
      <c r="A168" s="2">
        <v>166</v>
      </c>
      <c r="B168" s="2" t="s">
        <v>21543</v>
      </c>
      <c r="C168" s="2"/>
      <c r="D168" s="2" t="s">
        <v>4067</v>
      </c>
      <c r="E168" s="2" t="s">
        <v>4068</v>
      </c>
      <c r="F168" s="2" t="s">
        <v>21544</v>
      </c>
      <c r="G168" s="2" t="s">
        <v>21130</v>
      </c>
      <c r="H168" s="2" t="s">
        <v>21545</v>
      </c>
      <c r="I168" s="2">
        <v>1</v>
      </c>
      <c r="J168" s="2" t="s">
        <v>21546</v>
      </c>
      <c r="K168" s="2"/>
      <c r="L168" s="2" t="s">
        <v>20522</v>
      </c>
      <c r="M168" s="2" t="s">
        <v>72</v>
      </c>
      <c r="N168" s="2" t="s">
        <v>12341</v>
      </c>
      <c r="O168" s="2" t="s">
        <v>816</v>
      </c>
      <c r="P168" s="2" t="s">
        <v>2704</v>
      </c>
    </row>
    <row r="169" spans="1:16" ht="13.2" customHeight="1" x14ac:dyDescent="0.25">
      <c r="A169" s="2">
        <v>167</v>
      </c>
      <c r="B169" s="2" t="s">
        <v>21547</v>
      </c>
      <c r="C169" s="2"/>
      <c r="D169" s="2" t="s">
        <v>21166</v>
      </c>
      <c r="E169" s="2" t="s">
        <v>21167</v>
      </c>
      <c r="F169" s="2" t="s">
        <v>21168</v>
      </c>
      <c r="G169" s="2" t="s">
        <v>21171</v>
      </c>
      <c r="H169" s="2" t="s">
        <v>21172</v>
      </c>
      <c r="I169" s="2">
        <v>1</v>
      </c>
      <c r="J169" s="2" t="s">
        <v>21548</v>
      </c>
      <c r="K169" s="2"/>
      <c r="L169" s="2" t="s">
        <v>20522</v>
      </c>
      <c r="M169" s="2" t="s">
        <v>72</v>
      </c>
      <c r="N169" s="2" t="s">
        <v>21549</v>
      </c>
      <c r="O169" s="2" t="s">
        <v>816</v>
      </c>
      <c r="P169" s="2" t="s">
        <v>2704</v>
      </c>
    </row>
    <row r="170" spans="1:16" ht="13.2" customHeight="1" x14ac:dyDescent="0.25">
      <c r="A170" s="2">
        <v>168</v>
      </c>
      <c r="B170" s="2" t="s">
        <v>21550</v>
      </c>
      <c r="C170" s="2"/>
      <c r="D170" s="2" t="s">
        <v>21551</v>
      </c>
      <c r="E170" s="2" t="s">
        <v>21552</v>
      </c>
      <c r="F170" s="2" t="s">
        <v>21553</v>
      </c>
      <c r="G170" s="2" t="s">
        <v>21554</v>
      </c>
      <c r="H170" s="2" t="s">
        <v>21555</v>
      </c>
      <c r="I170" s="2">
        <v>1</v>
      </c>
      <c r="J170" s="2" t="s">
        <v>21556</v>
      </c>
      <c r="K170" s="2"/>
      <c r="L170" s="2" t="s">
        <v>20522</v>
      </c>
      <c r="M170" s="2" t="s">
        <v>72</v>
      </c>
      <c r="N170" s="2" t="s">
        <v>21542</v>
      </c>
      <c r="O170" s="2" t="s">
        <v>816</v>
      </c>
      <c r="P170" s="2" t="s">
        <v>2704</v>
      </c>
    </row>
    <row r="171" spans="1:16" ht="13.2" customHeight="1" x14ac:dyDescent="0.25">
      <c r="A171" s="2">
        <v>169</v>
      </c>
      <c r="B171" s="2" t="s">
        <v>21557</v>
      </c>
      <c r="C171" s="2"/>
      <c r="D171" s="2" t="s">
        <v>21558</v>
      </c>
      <c r="E171" s="2" t="s">
        <v>21559</v>
      </c>
      <c r="F171" s="2" t="s">
        <v>21560</v>
      </c>
      <c r="G171" s="2" t="s">
        <v>21561</v>
      </c>
      <c r="H171" s="2" t="s">
        <v>21562</v>
      </c>
      <c r="I171" s="2">
        <v>1</v>
      </c>
      <c r="J171" s="2" t="s">
        <v>21563</v>
      </c>
      <c r="K171" s="2"/>
      <c r="L171" s="2" t="s">
        <v>20522</v>
      </c>
      <c r="M171" s="2" t="s">
        <v>72</v>
      </c>
      <c r="N171" s="2" t="s">
        <v>21542</v>
      </c>
      <c r="O171" s="2" t="s">
        <v>816</v>
      </c>
      <c r="P171" s="2" t="s">
        <v>2704</v>
      </c>
    </row>
    <row r="172" spans="1:16" ht="13.2" customHeight="1" x14ac:dyDescent="0.25">
      <c r="A172" s="2">
        <v>170</v>
      </c>
      <c r="B172" s="2" t="s">
        <v>21564</v>
      </c>
      <c r="C172" s="2"/>
      <c r="D172" s="2" t="s">
        <v>21565</v>
      </c>
      <c r="E172" s="2" t="s">
        <v>21566</v>
      </c>
      <c r="F172" s="2" t="s">
        <v>21567</v>
      </c>
      <c r="G172" s="2" t="s">
        <v>21568</v>
      </c>
      <c r="H172" s="2" t="s">
        <v>21569</v>
      </c>
      <c r="I172" s="2">
        <v>1</v>
      </c>
      <c r="J172" s="2" t="s">
        <v>21570</v>
      </c>
      <c r="K172" s="2"/>
      <c r="L172" s="2" t="s">
        <v>20522</v>
      </c>
      <c r="M172" s="2" t="s">
        <v>72</v>
      </c>
      <c r="N172" s="2" t="s">
        <v>6856</v>
      </c>
      <c r="O172" s="2" t="s">
        <v>816</v>
      </c>
      <c r="P172" s="2" t="s">
        <v>2704</v>
      </c>
    </row>
    <row r="173" spans="1:16" ht="13.2" customHeight="1" x14ac:dyDescent="0.25">
      <c r="A173" s="2">
        <v>171</v>
      </c>
      <c r="B173" s="2" t="s">
        <v>21571</v>
      </c>
      <c r="C173" s="2"/>
      <c r="D173" s="2" t="s">
        <v>21168</v>
      </c>
      <c r="E173" s="2" t="s">
        <v>21171</v>
      </c>
      <c r="F173" s="2" t="s">
        <v>21172</v>
      </c>
      <c r="G173" s="2" t="s">
        <v>21173</v>
      </c>
      <c r="H173" s="2" t="s">
        <v>21177</v>
      </c>
      <c r="I173" s="2">
        <v>1</v>
      </c>
      <c r="J173" s="2" t="s">
        <v>21572</v>
      </c>
      <c r="K173" s="2"/>
      <c r="L173" s="2" t="s">
        <v>21058</v>
      </c>
      <c r="M173" s="2" t="s">
        <v>72</v>
      </c>
      <c r="N173" s="2" t="s">
        <v>21542</v>
      </c>
      <c r="O173" s="2" t="s">
        <v>816</v>
      </c>
      <c r="P173" s="2" t="s">
        <v>2704</v>
      </c>
    </row>
    <row r="174" spans="1:16" ht="13.2" customHeight="1" x14ac:dyDescent="0.25">
      <c r="A174" s="2">
        <v>172</v>
      </c>
      <c r="B174" s="2" t="s">
        <v>21573</v>
      </c>
      <c r="C174" s="2"/>
      <c r="D174" s="2" t="s">
        <v>21173</v>
      </c>
      <c r="E174" s="2" t="s">
        <v>21177</v>
      </c>
      <c r="F174" s="2" t="s">
        <v>21178</v>
      </c>
      <c r="G174" s="2" t="s">
        <v>21179</v>
      </c>
      <c r="H174" s="2" t="s">
        <v>21165</v>
      </c>
      <c r="I174" s="2">
        <v>1</v>
      </c>
      <c r="J174" s="2" t="s">
        <v>21574</v>
      </c>
      <c r="K174" s="2"/>
      <c r="L174" s="2" t="s">
        <v>20522</v>
      </c>
      <c r="M174" s="2" t="s">
        <v>72</v>
      </c>
      <c r="N174" s="2" t="s">
        <v>21549</v>
      </c>
      <c r="O174" s="2" t="s">
        <v>816</v>
      </c>
      <c r="P174" s="2" t="s">
        <v>2704</v>
      </c>
    </row>
    <row r="175" spans="1:16" ht="13.2" customHeight="1" x14ac:dyDescent="0.25">
      <c r="A175" s="2">
        <v>173</v>
      </c>
      <c r="B175" s="2" t="s">
        <v>21575</v>
      </c>
      <c r="C175" s="2"/>
      <c r="D175" s="2" t="s">
        <v>21179</v>
      </c>
      <c r="E175" s="2" t="s">
        <v>21165</v>
      </c>
      <c r="F175" s="2" t="s">
        <v>21166</v>
      </c>
      <c r="G175" s="2" t="s">
        <v>21167</v>
      </c>
      <c r="H175" s="2" t="s">
        <v>21168</v>
      </c>
      <c r="I175" s="2">
        <v>1</v>
      </c>
      <c r="J175" s="2" t="s">
        <v>21576</v>
      </c>
      <c r="K175" s="2"/>
      <c r="L175" s="2" t="s">
        <v>21058</v>
      </c>
      <c r="M175" s="2" t="s">
        <v>72</v>
      </c>
      <c r="N175" s="2" t="s">
        <v>21577</v>
      </c>
      <c r="O175" s="2" t="s">
        <v>816</v>
      </c>
      <c r="P175" s="2" t="s">
        <v>2704</v>
      </c>
    </row>
    <row r="176" spans="1:16" ht="13.2" customHeight="1" x14ac:dyDescent="0.25">
      <c r="A176" s="2">
        <v>174</v>
      </c>
      <c r="B176" s="2" t="s">
        <v>21578</v>
      </c>
      <c r="C176" s="2"/>
      <c r="D176" s="2" t="s">
        <v>21167</v>
      </c>
      <c r="E176" s="2" t="s">
        <v>21168</v>
      </c>
      <c r="F176" s="2" t="s">
        <v>21171</v>
      </c>
      <c r="G176" s="2" t="s">
        <v>21172</v>
      </c>
      <c r="H176" s="2" t="s">
        <v>21173</v>
      </c>
      <c r="I176" s="2">
        <v>1</v>
      </c>
      <c r="J176" s="2" t="s">
        <v>21579</v>
      </c>
      <c r="K176" s="2"/>
      <c r="L176" s="2" t="s">
        <v>20522</v>
      </c>
      <c r="M176" s="2" t="s">
        <v>72</v>
      </c>
      <c r="N176" s="2" t="s">
        <v>21580</v>
      </c>
      <c r="O176" s="2" t="s">
        <v>816</v>
      </c>
      <c r="P176" s="2" t="s">
        <v>2704</v>
      </c>
    </row>
    <row r="177" spans="1:16" ht="13.2" customHeight="1" x14ac:dyDescent="0.25">
      <c r="A177" s="2">
        <v>175</v>
      </c>
      <c r="B177" s="2" t="s">
        <v>21581</v>
      </c>
      <c r="C177" s="2"/>
      <c r="D177" s="2" t="s">
        <v>21582</v>
      </c>
      <c r="E177" s="2" t="s">
        <v>21583</v>
      </c>
      <c r="F177" s="2" t="s">
        <v>21584</v>
      </c>
      <c r="G177" s="2" t="s">
        <v>21585</v>
      </c>
      <c r="H177" s="2" t="s">
        <v>21586</v>
      </c>
      <c r="I177" s="2">
        <v>1</v>
      </c>
      <c r="J177" s="2" t="s">
        <v>21587</v>
      </c>
      <c r="K177" s="2"/>
      <c r="L177" s="2" t="s">
        <v>20522</v>
      </c>
      <c r="M177" s="2" t="s">
        <v>72</v>
      </c>
      <c r="N177" s="2" t="s">
        <v>21549</v>
      </c>
      <c r="O177" s="2" t="s">
        <v>816</v>
      </c>
      <c r="P177" s="2" t="s">
        <v>2704</v>
      </c>
    </row>
    <row r="178" spans="1:16" ht="13.2" customHeight="1" x14ac:dyDescent="0.25">
      <c r="A178" s="2">
        <v>176</v>
      </c>
      <c r="B178" s="2" t="s">
        <v>21588</v>
      </c>
      <c r="C178" s="2"/>
      <c r="D178" s="2" t="s">
        <v>21589</v>
      </c>
      <c r="E178" s="2" t="s">
        <v>21590</v>
      </c>
      <c r="F178" s="2" t="s">
        <v>21591</v>
      </c>
      <c r="G178" s="2" t="s">
        <v>21592</v>
      </c>
      <c r="H178" s="2" t="s">
        <v>21593</v>
      </c>
      <c r="I178" s="2">
        <v>1</v>
      </c>
      <c r="J178" s="2" t="s">
        <v>21594</v>
      </c>
      <c r="K178" s="2"/>
      <c r="L178" s="2" t="s">
        <v>21058</v>
      </c>
      <c r="M178" s="2" t="s">
        <v>72</v>
      </c>
      <c r="N178" s="2" t="s">
        <v>21542</v>
      </c>
      <c r="O178" s="2" t="s">
        <v>816</v>
      </c>
      <c r="P178" s="2" t="s">
        <v>2704</v>
      </c>
    </row>
    <row r="179" spans="1:16" ht="13.2" customHeight="1" x14ac:dyDescent="0.25">
      <c r="A179" s="2">
        <v>177</v>
      </c>
      <c r="B179" s="2" t="s">
        <v>21595</v>
      </c>
      <c r="C179" s="2"/>
      <c r="D179" s="2" t="s">
        <v>21166</v>
      </c>
      <c r="E179" s="2" t="s">
        <v>21167</v>
      </c>
      <c r="F179" s="2" t="s">
        <v>21168</v>
      </c>
      <c r="G179" s="2" t="s">
        <v>21171</v>
      </c>
      <c r="H179" s="2" t="s">
        <v>21172</v>
      </c>
      <c r="I179" s="2">
        <v>1</v>
      </c>
      <c r="J179" s="2" t="s">
        <v>21548</v>
      </c>
      <c r="K179" s="2"/>
      <c r="L179" s="2" t="s">
        <v>20522</v>
      </c>
      <c r="M179" s="2" t="s">
        <v>72</v>
      </c>
      <c r="N179" s="2" t="s">
        <v>21596</v>
      </c>
      <c r="O179" s="2" t="s">
        <v>164</v>
      </c>
      <c r="P179" s="2" t="s">
        <v>3561</v>
      </c>
    </row>
    <row r="180" spans="1:16" ht="13.2" customHeight="1" x14ac:dyDescent="0.25">
      <c r="A180" s="2">
        <v>178</v>
      </c>
      <c r="B180" s="2" t="s">
        <v>21597</v>
      </c>
      <c r="C180" s="2"/>
      <c r="D180" s="2" t="s">
        <v>21171</v>
      </c>
      <c r="E180" s="2" t="s">
        <v>21172</v>
      </c>
      <c r="F180" s="2" t="s">
        <v>21173</v>
      </c>
      <c r="G180" s="2" t="s">
        <v>21177</v>
      </c>
      <c r="H180" s="2" t="s">
        <v>21178</v>
      </c>
      <c r="I180" s="2">
        <v>1</v>
      </c>
      <c r="J180" s="2" t="s">
        <v>21598</v>
      </c>
      <c r="K180" s="2"/>
      <c r="L180" s="2" t="s">
        <v>20522</v>
      </c>
      <c r="M180" s="2" t="s">
        <v>72</v>
      </c>
      <c r="N180" s="2" t="s">
        <v>10435</v>
      </c>
      <c r="O180" s="2" t="s">
        <v>164</v>
      </c>
      <c r="P180" s="2" t="s">
        <v>3561</v>
      </c>
    </row>
    <row r="181" spans="1:16" ht="13.2" customHeight="1" x14ac:dyDescent="0.25">
      <c r="A181" s="2">
        <v>179</v>
      </c>
      <c r="B181" s="2" t="s">
        <v>21599</v>
      </c>
      <c r="C181" s="2"/>
      <c r="D181" s="2" t="s">
        <v>21177</v>
      </c>
      <c r="E181" s="2" t="s">
        <v>21178</v>
      </c>
      <c r="F181" s="2" t="s">
        <v>21179</v>
      </c>
      <c r="G181" s="2" t="s">
        <v>21165</v>
      </c>
      <c r="H181" s="2" t="s">
        <v>21166</v>
      </c>
      <c r="I181" s="2">
        <v>1</v>
      </c>
      <c r="J181" s="2" t="s">
        <v>21600</v>
      </c>
      <c r="K181" s="2"/>
      <c r="L181" s="2" t="s">
        <v>20522</v>
      </c>
      <c r="M181" s="2" t="s">
        <v>72</v>
      </c>
      <c r="N181" s="2" t="s">
        <v>21601</v>
      </c>
      <c r="O181" s="2" t="s">
        <v>164</v>
      </c>
      <c r="P181" s="2" t="s">
        <v>3561</v>
      </c>
    </row>
    <row r="182" spans="1:16" ht="13.2" customHeight="1" x14ac:dyDescent="0.25">
      <c r="A182" s="2">
        <v>180</v>
      </c>
      <c r="B182" s="2" t="s">
        <v>21602</v>
      </c>
      <c r="C182" s="2"/>
      <c r="D182" s="2" t="s">
        <v>21165</v>
      </c>
      <c r="E182" s="2" t="s">
        <v>21166</v>
      </c>
      <c r="F182" s="2" t="s">
        <v>21167</v>
      </c>
      <c r="G182" s="2" t="s">
        <v>21168</v>
      </c>
      <c r="H182" s="2" t="s">
        <v>21171</v>
      </c>
      <c r="I182" s="2">
        <v>1</v>
      </c>
      <c r="J182" s="2" t="s">
        <v>21603</v>
      </c>
      <c r="K182" s="2"/>
      <c r="L182" s="2" t="s">
        <v>21058</v>
      </c>
      <c r="M182" s="2" t="s">
        <v>72</v>
      </c>
      <c r="N182" s="2" t="s">
        <v>21604</v>
      </c>
      <c r="O182" s="2" t="s">
        <v>164</v>
      </c>
      <c r="P182" s="2" t="s">
        <v>3561</v>
      </c>
    </row>
    <row r="183" spans="1:16" ht="13.2" customHeight="1" x14ac:dyDescent="0.25">
      <c r="A183" s="2">
        <v>181</v>
      </c>
      <c r="B183" s="2" t="s">
        <v>21605</v>
      </c>
      <c r="C183" s="2"/>
      <c r="D183" s="2" t="s">
        <v>21168</v>
      </c>
      <c r="E183" s="2" t="s">
        <v>21171</v>
      </c>
      <c r="F183" s="2" t="s">
        <v>21172</v>
      </c>
      <c r="G183" s="2" t="s">
        <v>21173</v>
      </c>
      <c r="H183" s="2" t="s">
        <v>21177</v>
      </c>
      <c r="I183" s="2">
        <v>1</v>
      </c>
      <c r="J183" s="2" t="s">
        <v>21606</v>
      </c>
      <c r="K183" s="2"/>
      <c r="L183" s="2" t="s">
        <v>20522</v>
      </c>
      <c r="M183" s="2" t="s">
        <v>72</v>
      </c>
      <c r="N183" s="2" t="s">
        <v>21607</v>
      </c>
      <c r="O183" s="2" t="s">
        <v>164</v>
      </c>
      <c r="P183" s="2" t="s">
        <v>3561</v>
      </c>
    </row>
    <row r="184" spans="1:16" ht="13.2" customHeight="1" x14ac:dyDescent="0.25">
      <c r="A184" s="2">
        <v>182</v>
      </c>
      <c r="B184" s="2" t="s">
        <v>21608</v>
      </c>
      <c r="C184" s="2"/>
      <c r="D184" s="2" t="s">
        <v>21173</v>
      </c>
      <c r="E184" s="2" t="s">
        <v>21177</v>
      </c>
      <c r="F184" s="2" t="s">
        <v>21178</v>
      </c>
      <c r="G184" s="2" t="s">
        <v>21179</v>
      </c>
      <c r="H184" s="2" t="s">
        <v>21165</v>
      </c>
      <c r="I184" s="2">
        <v>1</v>
      </c>
      <c r="J184" s="2" t="s">
        <v>21609</v>
      </c>
      <c r="K184" s="2"/>
      <c r="L184" s="2" t="s">
        <v>21058</v>
      </c>
      <c r="M184" s="2" t="s">
        <v>72</v>
      </c>
      <c r="N184" s="2" t="s">
        <v>21610</v>
      </c>
      <c r="O184" s="2" t="s">
        <v>164</v>
      </c>
      <c r="P184" s="2" t="s">
        <v>3561</v>
      </c>
    </row>
    <row r="185" spans="1:16" ht="13.2" customHeight="1" x14ac:dyDescent="0.25">
      <c r="A185" s="2">
        <v>183</v>
      </c>
      <c r="B185" s="2" t="s">
        <v>21611</v>
      </c>
      <c r="C185" s="2"/>
      <c r="D185" s="2" t="s">
        <v>21612</v>
      </c>
      <c r="E185" s="2" t="s">
        <v>21165</v>
      </c>
      <c r="F185" s="2" t="s">
        <v>21166</v>
      </c>
      <c r="G185" s="2" t="s">
        <v>21167</v>
      </c>
      <c r="H185" s="2" t="s">
        <v>21168</v>
      </c>
      <c r="I185" s="2">
        <v>1</v>
      </c>
      <c r="J185" s="2" t="s">
        <v>21613</v>
      </c>
      <c r="K185" s="2"/>
      <c r="L185" s="2" t="s">
        <v>20522</v>
      </c>
      <c r="M185" s="2" t="s">
        <v>72</v>
      </c>
      <c r="N185" s="2" t="s">
        <v>21614</v>
      </c>
      <c r="O185" s="2" t="s">
        <v>164</v>
      </c>
      <c r="P185" s="2" t="s">
        <v>3561</v>
      </c>
    </row>
    <row r="186" spans="1:16" ht="13.2" customHeight="1" x14ac:dyDescent="0.25">
      <c r="A186" s="2">
        <v>184</v>
      </c>
      <c r="B186" s="2" t="s">
        <v>21615</v>
      </c>
      <c r="C186" s="2"/>
      <c r="D186" s="2" t="s">
        <v>21167</v>
      </c>
      <c r="E186" s="2" t="s">
        <v>21168</v>
      </c>
      <c r="F186" s="2" t="s">
        <v>21171</v>
      </c>
      <c r="G186" s="2" t="s">
        <v>21172</v>
      </c>
      <c r="H186" s="2" t="s">
        <v>21173</v>
      </c>
      <c r="I186" s="2">
        <v>1</v>
      </c>
      <c r="J186" s="2" t="s">
        <v>21616</v>
      </c>
      <c r="K186" s="2"/>
      <c r="L186" s="2" t="s">
        <v>20587</v>
      </c>
      <c r="M186" s="2" t="s">
        <v>72</v>
      </c>
      <c r="N186" s="2" t="s">
        <v>21617</v>
      </c>
      <c r="O186" s="2" t="s">
        <v>164</v>
      </c>
      <c r="P186" s="2" t="s">
        <v>3561</v>
      </c>
    </row>
    <row r="187" spans="1:16" ht="13.2" customHeight="1" x14ac:dyDescent="0.25">
      <c r="A187" s="2">
        <v>185</v>
      </c>
      <c r="B187" s="2" t="s">
        <v>21618</v>
      </c>
      <c r="C187" s="2"/>
      <c r="D187" s="2" t="s">
        <v>21172</v>
      </c>
      <c r="E187" s="2" t="s">
        <v>21173</v>
      </c>
      <c r="F187" s="2" t="s">
        <v>21177</v>
      </c>
      <c r="G187" s="2" t="s">
        <v>21178</v>
      </c>
      <c r="H187" s="2" t="s">
        <v>21179</v>
      </c>
      <c r="I187" s="2">
        <v>1</v>
      </c>
      <c r="J187" s="2" t="s">
        <v>21619</v>
      </c>
      <c r="K187" s="2"/>
      <c r="L187" s="2" t="s">
        <v>20522</v>
      </c>
      <c r="M187" s="2" t="s">
        <v>72</v>
      </c>
      <c r="N187" s="2" t="s">
        <v>21620</v>
      </c>
      <c r="O187" s="2" t="s">
        <v>164</v>
      </c>
      <c r="P187" s="2" t="s">
        <v>3561</v>
      </c>
    </row>
    <row r="188" spans="1:16" ht="13.2" customHeight="1" x14ac:dyDescent="0.25">
      <c r="A188" s="2">
        <v>186</v>
      </c>
      <c r="B188" s="2" t="s">
        <v>21621</v>
      </c>
      <c r="C188" s="2"/>
      <c r="D188" s="2" t="s">
        <v>21178</v>
      </c>
      <c r="E188" s="2" t="s">
        <v>21179</v>
      </c>
      <c r="F188" s="2" t="s">
        <v>21165</v>
      </c>
      <c r="G188" s="2" t="s">
        <v>21166</v>
      </c>
      <c r="H188" s="2" t="s">
        <v>21167</v>
      </c>
      <c r="I188" s="2">
        <v>1</v>
      </c>
      <c r="J188" s="2" t="s">
        <v>21622</v>
      </c>
      <c r="K188" s="2"/>
      <c r="L188" s="2" t="s">
        <v>20522</v>
      </c>
      <c r="M188" s="2" t="s">
        <v>72</v>
      </c>
      <c r="N188" s="2" t="s">
        <v>21623</v>
      </c>
      <c r="O188" s="2" t="s">
        <v>164</v>
      </c>
      <c r="P188" s="2" t="s">
        <v>3561</v>
      </c>
    </row>
    <row r="189" spans="1:16" ht="13.2" customHeight="1" x14ac:dyDescent="0.25">
      <c r="A189" s="2">
        <v>187</v>
      </c>
      <c r="B189" s="2" t="s">
        <v>21624</v>
      </c>
      <c r="C189" s="2"/>
      <c r="D189" s="2" t="s">
        <v>21166</v>
      </c>
      <c r="E189" s="2" t="s">
        <v>21167</v>
      </c>
      <c r="F189" s="2" t="s">
        <v>21168</v>
      </c>
      <c r="G189" s="2" t="s">
        <v>21171</v>
      </c>
      <c r="H189" s="2" t="s">
        <v>21172</v>
      </c>
      <c r="I189" s="2">
        <v>1</v>
      </c>
      <c r="J189" s="2" t="s">
        <v>21625</v>
      </c>
      <c r="K189" s="2"/>
      <c r="L189" s="2" t="s">
        <v>20522</v>
      </c>
      <c r="M189" s="2" t="s">
        <v>72</v>
      </c>
      <c r="N189" s="2" t="s">
        <v>21626</v>
      </c>
      <c r="O189" s="2" t="s">
        <v>164</v>
      </c>
      <c r="P189" s="2" t="s">
        <v>3561</v>
      </c>
    </row>
    <row r="190" spans="1:16" ht="13.2" customHeight="1" x14ac:dyDescent="0.25">
      <c r="A190" s="2">
        <v>188</v>
      </c>
      <c r="B190" s="2" t="s">
        <v>21627</v>
      </c>
      <c r="C190" s="2"/>
      <c r="D190" s="2" t="s">
        <v>21171</v>
      </c>
      <c r="E190" s="2" t="s">
        <v>21172</v>
      </c>
      <c r="F190" s="2" t="s">
        <v>21173</v>
      </c>
      <c r="G190" s="2" t="s">
        <v>21177</v>
      </c>
      <c r="H190" s="2" t="s">
        <v>21178</v>
      </c>
      <c r="I190" s="2">
        <v>1</v>
      </c>
      <c r="J190" s="2" t="s">
        <v>21598</v>
      </c>
      <c r="K190" s="2"/>
      <c r="L190" s="2" t="s">
        <v>20522</v>
      </c>
      <c r="M190" s="2" t="s">
        <v>72</v>
      </c>
      <c r="N190" s="2" t="s">
        <v>4986</v>
      </c>
      <c r="O190" s="2" t="s">
        <v>164</v>
      </c>
      <c r="P190" s="2" t="s">
        <v>2705</v>
      </c>
    </row>
    <row r="191" spans="1:16" ht="13.2" customHeight="1" x14ac:dyDescent="0.25">
      <c r="A191" s="2">
        <v>189</v>
      </c>
      <c r="B191" s="2" t="s">
        <v>21628</v>
      </c>
      <c r="C191" s="2"/>
      <c r="D191" s="2" t="s">
        <v>17245</v>
      </c>
      <c r="E191" s="2" t="s">
        <v>9809</v>
      </c>
      <c r="F191" s="2" t="s">
        <v>9781</v>
      </c>
      <c r="G191" s="2" t="s">
        <v>16365</v>
      </c>
      <c r="H191" s="2" t="s">
        <v>3183</v>
      </c>
      <c r="I191" s="2">
        <v>1</v>
      </c>
      <c r="J191" s="2" t="s">
        <v>21629</v>
      </c>
      <c r="K191" s="2"/>
      <c r="L191" s="2" t="s">
        <v>20522</v>
      </c>
      <c r="M191" s="2" t="s">
        <v>72</v>
      </c>
      <c r="N191" s="2" t="s">
        <v>21630</v>
      </c>
      <c r="O191" s="2" t="s">
        <v>164</v>
      </c>
      <c r="P191" s="2" t="s">
        <v>2706</v>
      </c>
    </row>
    <row r="192" spans="1:16" ht="13.2" customHeight="1" x14ac:dyDescent="0.25">
      <c r="A192" s="2">
        <v>190</v>
      </c>
      <c r="B192" s="2" t="s">
        <v>21631</v>
      </c>
      <c r="C192" s="2"/>
      <c r="D192" s="2" t="s">
        <v>12336</v>
      </c>
      <c r="E192" s="2" t="s">
        <v>12337</v>
      </c>
      <c r="F192" s="2" t="s">
        <v>12335</v>
      </c>
      <c r="G192" s="2" t="s">
        <v>20551</v>
      </c>
      <c r="H192" s="2" t="s">
        <v>21632</v>
      </c>
      <c r="I192" s="2">
        <v>1</v>
      </c>
      <c r="J192" s="2" t="s">
        <v>21633</v>
      </c>
      <c r="K192" s="2"/>
      <c r="L192" s="2" t="s">
        <v>20522</v>
      </c>
      <c r="M192" s="2" t="s">
        <v>72</v>
      </c>
      <c r="N192" s="2" t="s">
        <v>21634</v>
      </c>
      <c r="O192" s="2" t="s">
        <v>164</v>
      </c>
      <c r="P192" s="2" t="s">
        <v>2706</v>
      </c>
    </row>
    <row r="193" spans="1:16" ht="13.2" customHeight="1" x14ac:dyDescent="0.25">
      <c r="A193" s="2">
        <v>191</v>
      </c>
      <c r="B193" s="2" t="s">
        <v>21635</v>
      </c>
      <c r="C193" s="2"/>
      <c r="D193" s="2" t="s">
        <v>20539</v>
      </c>
      <c r="E193" s="2" t="s">
        <v>21636</v>
      </c>
      <c r="F193" s="2" t="s">
        <v>4067</v>
      </c>
      <c r="G193" s="2" t="s">
        <v>4068</v>
      </c>
      <c r="H193" s="2" t="s">
        <v>21637</v>
      </c>
      <c r="I193" s="2">
        <v>1</v>
      </c>
      <c r="J193" s="2" t="s">
        <v>21638</v>
      </c>
      <c r="K193" s="2"/>
      <c r="L193" s="2" t="s">
        <v>20522</v>
      </c>
      <c r="M193" s="2" t="s">
        <v>72</v>
      </c>
      <c r="N193" s="2" t="s">
        <v>21639</v>
      </c>
      <c r="O193" s="2" t="s">
        <v>164</v>
      </c>
      <c r="P193" s="2" t="s">
        <v>2706</v>
      </c>
    </row>
    <row r="194" spans="1:16" ht="13.2" customHeight="1" x14ac:dyDescent="0.25">
      <c r="A194" s="2">
        <v>192</v>
      </c>
      <c r="B194" s="2" t="s">
        <v>21640</v>
      </c>
      <c r="C194" s="2"/>
      <c r="D194" s="2" t="s">
        <v>20539</v>
      </c>
      <c r="E194" s="2" t="s">
        <v>21636</v>
      </c>
      <c r="F194" s="2" t="s">
        <v>4067</v>
      </c>
      <c r="G194" s="2" t="s">
        <v>4068</v>
      </c>
      <c r="H194" s="2" t="s">
        <v>20804</v>
      </c>
      <c r="I194" s="2">
        <v>1</v>
      </c>
      <c r="J194" s="2" t="s">
        <v>21641</v>
      </c>
      <c r="K194" s="2"/>
      <c r="L194" s="2" t="s">
        <v>20522</v>
      </c>
      <c r="M194" s="2" t="s">
        <v>72</v>
      </c>
      <c r="N194" s="2" t="s">
        <v>21642</v>
      </c>
      <c r="O194" s="2" t="s">
        <v>164</v>
      </c>
      <c r="P194" s="2" t="s">
        <v>2706</v>
      </c>
    </row>
    <row r="195" spans="1:16" ht="13.2" customHeight="1" x14ac:dyDescent="0.25">
      <c r="A195" s="2">
        <v>193</v>
      </c>
      <c r="B195" s="2" t="s">
        <v>21643</v>
      </c>
      <c r="C195" s="2"/>
      <c r="D195" s="2" t="s">
        <v>21179</v>
      </c>
      <c r="E195" s="2" t="s">
        <v>21165</v>
      </c>
      <c r="F195" s="2" t="s">
        <v>21166</v>
      </c>
      <c r="G195" s="2" t="s">
        <v>21167</v>
      </c>
      <c r="H195" s="2" t="s">
        <v>21168</v>
      </c>
      <c r="I195" s="2">
        <v>1</v>
      </c>
      <c r="J195" s="2" t="s">
        <v>21644</v>
      </c>
      <c r="K195" s="2"/>
      <c r="L195" s="2" t="s">
        <v>20522</v>
      </c>
      <c r="M195" s="2" t="s">
        <v>72</v>
      </c>
      <c r="N195" s="2" t="s">
        <v>21645</v>
      </c>
      <c r="O195" s="2" t="s">
        <v>164</v>
      </c>
      <c r="P195" s="2" t="s">
        <v>2706</v>
      </c>
    </row>
    <row r="196" spans="1:16" ht="13.2" customHeight="1" x14ac:dyDescent="0.25">
      <c r="A196" s="2">
        <v>194</v>
      </c>
      <c r="B196" s="2" t="s">
        <v>21646</v>
      </c>
      <c r="C196" s="2"/>
      <c r="D196" s="2" t="s">
        <v>21167</v>
      </c>
      <c r="E196" s="2" t="s">
        <v>21168</v>
      </c>
      <c r="F196" s="2" t="s">
        <v>21171</v>
      </c>
      <c r="G196" s="2" t="s">
        <v>21172</v>
      </c>
      <c r="H196" s="2" t="s">
        <v>21173</v>
      </c>
      <c r="I196" s="2">
        <v>1</v>
      </c>
      <c r="J196" s="2" t="s">
        <v>21579</v>
      </c>
      <c r="K196" s="2"/>
      <c r="L196" s="2" t="s">
        <v>20522</v>
      </c>
      <c r="M196" s="2" t="s">
        <v>72</v>
      </c>
      <c r="N196" s="2" t="s">
        <v>3595</v>
      </c>
      <c r="O196" s="2" t="s">
        <v>164</v>
      </c>
      <c r="P196" s="2" t="s">
        <v>2706</v>
      </c>
    </row>
    <row r="197" spans="1:16" ht="13.2" customHeight="1" x14ac:dyDescent="0.25">
      <c r="A197" s="2">
        <v>195</v>
      </c>
      <c r="B197" s="2" t="s">
        <v>21647</v>
      </c>
      <c r="C197" s="2"/>
      <c r="D197" s="2" t="s">
        <v>21172</v>
      </c>
      <c r="E197" s="2" t="s">
        <v>21173</v>
      </c>
      <c r="F197" s="2" t="s">
        <v>21177</v>
      </c>
      <c r="G197" s="2" t="s">
        <v>21178</v>
      </c>
      <c r="H197" s="2" t="s">
        <v>21179</v>
      </c>
      <c r="I197" s="2">
        <v>1</v>
      </c>
      <c r="J197" s="2" t="s">
        <v>21619</v>
      </c>
      <c r="K197" s="2"/>
      <c r="L197" s="2" t="s">
        <v>20522</v>
      </c>
      <c r="M197" s="2" t="s">
        <v>72</v>
      </c>
      <c r="N197" s="2" t="s">
        <v>9890</v>
      </c>
      <c r="O197" s="2" t="s">
        <v>164</v>
      </c>
      <c r="P197" s="2" t="s">
        <v>2706</v>
      </c>
    </row>
    <row r="198" spans="1:16" ht="13.2" customHeight="1" x14ac:dyDescent="0.25">
      <c r="A198" s="2">
        <v>196</v>
      </c>
      <c r="B198" s="2" t="s">
        <v>21648</v>
      </c>
      <c r="C198" s="2"/>
      <c r="D198" s="2" t="s">
        <v>21178</v>
      </c>
      <c r="E198" s="2" t="s">
        <v>21179</v>
      </c>
      <c r="F198" s="2" t="s">
        <v>21165</v>
      </c>
      <c r="G198" s="2" t="s">
        <v>21166</v>
      </c>
      <c r="H198" s="2" t="s">
        <v>21167</v>
      </c>
      <c r="I198" s="2">
        <v>1</v>
      </c>
      <c r="J198" s="2" t="s">
        <v>21649</v>
      </c>
      <c r="K198" s="2"/>
      <c r="L198" s="2" t="s">
        <v>20522</v>
      </c>
      <c r="M198" s="2" t="s">
        <v>72</v>
      </c>
      <c r="N198" s="2" t="s">
        <v>7452</v>
      </c>
      <c r="O198" s="2" t="s">
        <v>164</v>
      </c>
      <c r="P198" s="2" t="s">
        <v>2706</v>
      </c>
    </row>
    <row r="199" spans="1:16" ht="13.2" customHeight="1" x14ac:dyDescent="0.25">
      <c r="A199" s="2">
        <v>197</v>
      </c>
      <c r="B199" s="2" t="s">
        <v>21650</v>
      </c>
      <c r="C199" s="2"/>
      <c r="D199" s="2" t="s">
        <v>21166</v>
      </c>
      <c r="E199" s="2" t="s">
        <v>21167</v>
      </c>
      <c r="F199" s="2" t="s">
        <v>21168</v>
      </c>
      <c r="G199" s="2" t="s">
        <v>21171</v>
      </c>
      <c r="H199" s="2" t="s">
        <v>21172</v>
      </c>
      <c r="I199" s="2">
        <v>1</v>
      </c>
      <c r="J199" s="2" t="s">
        <v>21548</v>
      </c>
      <c r="K199" s="2"/>
      <c r="L199" s="2" t="s">
        <v>20522</v>
      </c>
      <c r="M199" s="2" t="s">
        <v>72</v>
      </c>
      <c r="N199" s="2" t="s">
        <v>6873</v>
      </c>
      <c r="O199" s="2" t="s">
        <v>164</v>
      </c>
      <c r="P199" s="2" t="s">
        <v>2706</v>
      </c>
    </row>
    <row r="200" spans="1:16" ht="13.2" customHeight="1" x14ac:dyDescent="0.25">
      <c r="A200" s="2">
        <v>198</v>
      </c>
      <c r="B200" s="2" t="s">
        <v>21651</v>
      </c>
      <c r="C200" s="2"/>
      <c r="D200" s="2" t="s">
        <v>4067</v>
      </c>
      <c r="E200" s="2" t="s">
        <v>4068</v>
      </c>
      <c r="F200" s="2" t="s">
        <v>20539</v>
      </c>
      <c r="G200" s="2" t="s">
        <v>6852</v>
      </c>
      <c r="H200" s="2" t="s">
        <v>21652</v>
      </c>
      <c r="I200" s="2">
        <v>1</v>
      </c>
      <c r="J200" s="2" t="s">
        <v>21653</v>
      </c>
      <c r="K200" s="2"/>
      <c r="L200" s="2" t="s">
        <v>20522</v>
      </c>
      <c r="M200" s="2" t="s">
        <v>72</v>
      </c>
      <c r="N200" s="2" t="s">
        <v>21654</v>
      </c>
      <c r="O200" s="2" t="s">
        <v>164</v>
      </c>
      <c r="P200" s="2" t="s">
        <v>2707</v>
      </c>
    </row>
    <row r="201" spans="1:16" ht="13.2" customHeight="1" x14ac:dyDescent="0.25">
      <c r="A201" s="2">
        <v>199</v>
      </c>
      <c r="B201" s="2" t="s">
        <v>21655</v>
      </c>
      <c r="C201" s="2"/>
      <c r="D201" s="2" t="s">
        <v>21177</v>
      </c>
      <c r="E201" s="2" t="s">
        <v>21178</v>
      </c>
      <c r="F201" s="2" t="s">
        <v>21179</v>
      </c>
      <c r="G201" s="2" t="s">
        <v>21165</v>
      </c>
      <c r="H201" s="2" t="s">
        <v>21166</v>
      </c>
      <c r="I201" s="2">
        <v>5</v>
      </c>
      <c r="J201" s="2" t="s">
        <v>21656</v>
      </c>
      <c r="K201" s="2"/>
      <c r="L201" s="2" t="s">
        <v>20522</v>
      </c>
      <c r="M201" s="2" t="s">
        <v>72</v>
      </c>
      <c r="N201" s="2" t="s">
        <v>3642</v>
      </c>
      <c r="O201" s="2" t="s">
        <v>164</v>
      </c>
      <c r="P201" s="2" t="s">
        <v>2707</v>
      </c>
    </row>
    <row r="202" spans="1:16" ht="13.2" customHeight="1" x14ac:dyDescent="0.25">
      <c r="A202" s="2">
        <v>200</v>
      </c>
      <c r="B202" s="2" t="s">
        <v>21657</v>
      </c>
      <c r="C202" s="2"/>
      <c r="D202" s="2" t="s">
        <v>1132</v>
      </c>
      <c r="E202" s="2" t="s">
        <v>12937</v>
      </c>
      <c r="F202" s="2" t="s">
        <v>12543</v>
      </c>
      <c r="G202" s="2" t="s">
        <v>12649</v>
      </c>
      <c r="H202" s="2" t="s">
        <v>21658</v>
      </c>
      <c r="I202" s="2">
        <v>1</v>
      </c>
      <c r="J202" s="2" t="s">
        <v>21659</v>
      </c>
      <c r="K202" s="2"/>
      <c r="L202" s="2" t="s">
        <v>20522</v>
      </c>
      <c r="M202" s="2" t="s">
        <v>72</v>
      </c>
      <c r="N202" s="2" t="s">
        <v>6881</v>
      </c>
      <c r="O202" s="2" t="s">
        <v>164</v>
      </c>
      <c r="P202" s="2" t="s">
        <v>2707</v>
      </c>
    </row>
    <row r="203" spans="1:16" ht="13.2" customHeight="1" x14ac:dyDescent="0.25">
      <c r="A203" s="2">
        <v>201</v>
      </c>
      <c r="B203" s="2" t="s">
        <v>21660</v>
      </c>
      <c r="C203" s="2"/>
      <c r="D203" s="2" t="s">
        <v>21558</v>
      </c>
      <c r="E203" s="2" t="s">
        <v>21661</v>
      </c>
      <c r="F203" s="2" t="s">
        <v>21560</v>
      </c>
      <c r="G203" s="2" t="s">
        <v>21561</v>
      </c>
      <c r="H203" s="2" t="s">
        <v>21662</v>
      </c>
      <c r="I203" s="2">
        <v>1</v>
      </c>
      <c r="J203" s="2" t="s">
        <v>21663</v>
      </c>
      <c r="K203" s="2"/>
      <c r="L203" s="2" t="s">
        <v>20522</v>
      </c>
      <c r="M203" s="2" t="s">
        <v>72</v>
      </c>
      <c r="N203" s="2" t="s">
        <v>3634</v>
      </c>
      <c r="O203" s="2" t="s">
        <v>164</v>
      </c>
      <c r="P203" s="2" t="s">
        <v>2707</v>
      </c>
    </row>
    <row r="204" spans="1:16" ht="13.2" customHeight="1" x14ac:dyDescent="0.25">
      <c r="A204" s="2">
        <v>202</v>
      </c>
      <c r="B204" s="2" t="s">
        <v>21664</v>
      </c>
      <c r="C204" s="2"/>
      <c r="D204" s="2" t="s">
        <v>21665</v>
      </c>
      <c r="E204" s="2" t="s">
        <v>21666</v>
      </c>
      <c r="F204" s="2" t="s">
        <v>21667</v>
      </c>
      <c r="G204" s="2" t="s">
        <v>21668</v>
      </c>
      <c r="H204" s="2" t="s">
        <v>21669</v>
      </c>
      <c r="I204" s="2">
        <v>1</v>
      </c>
      <c r="J204" s="2" t="s">
        <v>21670</v>
      </c>
      <c r="K204" s="2"/>
      <c r="L204" s="2" t="s">
        <v>20522</v>
      </c>
      <c r="M204" s="2" t="s">
        <v>72</v>
      </c>
      <c r="N204" s="2" t="s">
        <v>3621</v>
      </c>
      <c r="O204" s="2" t="s">
        <v>164</v>
      </c>
      <c r="P204" s="2" t="s">
        <v>2707</v>
      </c>
    </row>
    <row r="205" spans="1:16" ht="13.2" customHeight="1" x14ac:dyDescent="0.25">
      <c r="A205" s="2">
        <v>203</v>
      </c>
      <c r="B205" s="2" t="s">
        <v>21671</v>
      </c>
      <c r="C205" s="2"/>
      <c r="D205" s="2" t="s">
        <v>21672</v>
      </c>
      <c r="E205" s="2" t="s">
        <v>21130</v>
      </c>
      <c r="F205" s="2" t="s">
        <v>21673</v>
      </c>
      <c r="G205" s="2" t="s">
        <v>21674</v>
      </c>
      <c r="H205" s="2" t="s">
        <v>21675</v>
      </c>
      <c r="I205" s="2">
        <v>1</v>
      </c>
      <c r="J205" s="2" t="s">
        <v>21676</v>
      </c>
      <c r="K205" s="2"/>
      <c r="L205" s="2" t="s">
        <v>20522</v>
      </c>
      <c r="M205" s="2" t="s">
        <v>72</v>
      </c>
      <c r="N205" s="2" t="s">
        <v>21677</v>
      </c>
      <c r="O205" s="2" t="s">
        <v>164</v>
      </c>
      <c r="P205" s="2" t="s">
        <v>2707</v>
      </c>
    </row>
    <row r="206" spans="1:16" ht="13.2" customHeight="1" x14ac:dyDescent="0.25">
      <c r="A206" s="2">
        <v>204</v>
      </c>
      <c r="B206" s="2" t="s">
        <v>21678</v>
      </c>
      <c r="C206" s="2"/>
      <c r="D206" s="2" t="s">
        <v>21167</v>
      </c>
      <c r="E206" s="2" t="s">
        <v>21168</v>
      </c>
      <c r="F206" s="2" t="s">
        <v>21171</v>
      </c>
      <c r="G206" s="2" t="s">
        <v>21172</v>
      </c>
      <c r="H206" s="2" t="s">
        <v>21173</v>
      </c>
      <c r="I206" s="2">
        <v>1</v>
      </c>
      <c r="J206" s="2" t="s">
        <v>21579</v>
      </c>
      <c r="K206" s="2"/>
      <c r="L206" s="2" t="s">
        <v>20579</v>
      </c>
      <c r="M206" s="2" t="s">
        <v>72</v>
      </c>
      <c r="N206" s="2" t="s">
        <v>14290</v>
      </c>
      <c r="O206" s="2" t="s">
        <v>164</v>
      </c>
      <c r="P206" s="2" t="s">
        <v>2709</v>
      </c>
    </row>
    <row r="207" spans="1:16" ht="13.2" customHeight="1" x14ac:dyDescent="0.25">
      <c r="A207" s="2">
        <v>205</v>
      </c>
      <c r="B207" s="2" t="s">
        <v>21679</v>
      </c>
      <c r="C207" s="2"/>
      <c r="D207" s="2" t="s">
        <v>21172</v>
      </c>
      <c r="E207" s="2" t="s">
        <v>21173</v>
      </c>
      <c r="F207" s="2" t="s">
        <v>21177</v>
      </c>
      <c r="G207" s="2" t="s">
        <v>21178</v>
      </c>
      <c r="H207" s="2" t="s">
        <v>21179</v>
      </c>
      <c r="I207" s="2">
        <v>1</v>
      </c>
      <c r="J207" s="2" t="s">
        <v>21619</v>
      </c>
      <c r="K207" s="2"/>
      <c r="L207" s="2" t="s">
        <v>20522</v>
      </c>
      <c r="M207" s="2" t="s">
        <v>72</v>
      </c>
      <c r="N207" s="2" t="s">
        <v>2575</v>
      </c>
      <c r="O207" s="2" t="s">
        <v>816</v>
      </c>
      <c r="P207" s="2" t="s">
        <v>2710</v>
      </c>
    </row>
    <row r="208" spans="1:16" ht="13.2" customHeight="1" x14ac:dyDescent="0.25">
      <c r="A208" s="2">
        <v>206</v>
      </c>
      <c r="B208" s="2" t="s">
        <v>21680</v>
      </c>
      <c r="C208" s="2"/>
      <c r="D208" s="2" t="s">
        <v>3829</v>
      </c>
      <c r="E208" s="2" t="s">
        <v>3830</v>
      </c>
      <c r="F208" s="2" t="s">
        <v>21681</v>
      </c>
      <c r="G208" s="2" t="s">
        <v>21682</v>
      </c>
      <c r="H208" s="2" t="s">
        <v>21683</v>
      </c>
      <c r="I208" s="2">
        <v>1</v>
      </c>
      <c r="J208" s="2" t="s">
        <v>21684</v>
      </c>
      <c r="K208" s="2"/>
      <c r="L208" s="2" t="s">
        <v>20522</v>
      </c>
      <c r="M208" s="2" t="s">
        <v>72</v>
      </c>
      <c r="N208" s="2" t="s">
        <v>2540</v>
      </c>
      <c r="O208" s="2" t="s">
        <v>816</v>
      </c>
      <c r="P208" s="2" t="s">
        <v>2710</v>
      </c>
    </row>
    <row r="209" spans="1:16" ht="13.2" customHeight="1" x14ac:dyDescent="0.25">
      <c r="A209" s="2">
        <v>207</v>
      </c>
      <c r="B209" s="2" t="s">
        <v>21685</v>
      </c>
      <c r="C209" s="2"/>
      <c r="D209" s="2" t="s">
        <v>21166</v>
      </c>
      <c r="E209" s="2" t="s">
        <v>21167</v>
      </c>
      <c r="F209" s="2" t="s">
        <v>21168</v>
      </c>
      <c r="G209" s="2" t="s">
        <v>21171</v>
      </c>
      <c r="H209" s="2" t="s">
        <v>21172</v>
      </c>
      <c r="I209" s="2">
        <v>1</v>
      </c>
      <c r="J209" s="2" t="s">
        <v>21548</v>
      </c>
      <c r="K209" s="2"/>
      <c r="L209" s="2" t="s">
        <v>20522</v>
      </c>
      <c r="M209" s="2" t="s">
        <v>72</v>
      </c>
      <c r="N209" s="2" t="s">
        <v>6202</v>
      </c>
      <c r="O209" s="2" t="s">
        <v>816</v>
      </c>
      <c r="P209" s="2" t="s">
        <v>2710</v>
      </c>
    </row>
    <row r="210" spans="1:16" ht="13.2" customHeight="1" x14ac:dyDescent="0.25">
      <c r="A210" s="2">
        <v>208</v>
      </c>
      <c r="B210" s="2" t="s">
        <v>21686</v>
      </c>
      <c r="C210" s="2"/>
      <c r="D210" s="2" t="s">
        <v>21171</v>
      </c>
      <c r="E210" s="2" t="s">
        <v>21172</v>
      </c>
      <c r="F210" s="2" t="s">
        <v>21173</v>
      </c>
      <c r="G210" s="2" t="s">
        <v>21177</v>
      </c>
      <c r="H210" s="2" t="s">
        <v>21178</v>
      </c>
      <c r="I210" s="2">
        <v>3</v>
      </c>
      <c r="J210" s="2" t="s">
        <v>21687</v>
      </c>
      <c r="K210" s="2"/>
      <c r="L210" s="2" t="s">
        <v>20587</v>
      </c>
      <c r="M210" s="2" t="s">
        <v>72</v>
      </c>
      <c r="N210" s="2" t="s">
        <v>2540</v>
      </c>
      <c r="O210" s="2" t="s">
        <v>816</v>
      </c>
      <c r="P210" s="2" t="s">
        <v>2710</v>
      </c>
    </row>
    <row r="211" spans="1:16" ht="13.2" customHeight="1" x14ac:dyDescent="0.25">
      <c r="A211" s="2">
        <v>209</v>
      </c>
      <c r="B211" s="2" t="s">
        <v>21688</v>
      </c>
      <c r="C211" s="2"/>
      <c r="D211" s="2" t="s">
        <v>21177</v>
      </c>
      <c r="E211" s="2" t="s">
        <v>21178</v>
      </c>
      <c r="F211" s="2" t="s">
        <v>21179</v>
      </c>
      <c r="G211" s="2" t="s">
        <v>21165</v>
      </c>
      <c r="H211" s="2" t="s">
        <v>21166</v>
      </c>
      <c r="I211" s="2">
        <v>1</v>
      </c>
      <c r="J211" s="2" t="s">
        <v>21600</v>
      </c>
      <c r="K211" s="2"/>
      <c r="L211" s="2" t="s">
        <v>20522</v>
      </c>
      <c r="M211" s="2" t="s">
        <v>72</v>
      </c>
      <c r="N211" s="2" t="s">
        <v>2540</v>
      </c>
      <c r="O211" s="2" t="s">
        <v>816</v>
      </c>
      <c r="P211" s="2" t="s">
        <v>2710</v>
      </c>
    </row>
    <row r="212" spans="1:16" ht="13.2" customHeight="1" x14ac:dyDescent="0.25">
      <c r="A212" s="2">
        <v>210</v>
      </c>
      <c r="B212" s="2" t="s">
        <v>21689</v>
      </c>
      <c r="C212" s="2"/>
      <c r="D212" s="2" t="s">
        <v>21165</v>
      </c>
      <c r="E212" s="2" t="s">
        <v>21166</v>
      </c>
      <c r="F212" s="2" t="s">
        <v>21167</v>
      </c>
      <c r="G212" s="2" t="s">
        <v>21168</v>
      </c>
      <c r="H212" s="2" t="s">
        <v>21171</v>
      </c>
      <c r="I212" s="2">
        <v>2</v>
      </c>
      <c r="J212" s="2" t="s">
        <v>21690</v>
      </c>
      <c r="K212" s="2"/>
      <c r="L212" s="2" t="s">
        <v>20522</v>
      </c>
      <c r="M212" s="2" t="s">
        <v>72</v>
      </c>
      <c r="N212" s="2" t="s">
        <v>3803</v>
      </c>
      <c r="O212" s="2" t="s">
        <v>816</v>
      </c>
      <c r="P212" s="2" t="s">
        <v>2710</v>
      </c>
    </row>
    <row r="213" spans="1:16" ht="13.2" customHeight="1" x14ac:dyDescent="0.25">
      <c r="A213" s="2">
        <v>211</v>
      </c>
      <c r="B213" s="2" t="s">
        <v>21691</v>
      </c>
      <c r="C213" s="2"/>
      <c r="D213" s="2" t="s">
        <v>21692</v>
      </c>
      <c r="E213" s="2" t="s">
        <v>21693</v>
      </c>
      <c r="F213" s="2" t="s">
        <v>21694</v>
      </c>
      <c r="G213" s="2" t="s">
        <v>21695</v>
      </c>
      <c r="H213" s="2" t="s">
        <v>21696</v>
      </c>
      <c r="I213" s="2">
        <v>1</v>
      </c>
      <c r="J213" s="2" t="s">
        <v>21697</v>
      </c>
      <c r="K213" s="2"/>
      <c r="L213" s="2" t="s">
        <v>20522</v>
      </c>
      <c r="M213" s="2" t="s">
        <v>72</v>
      </c>
      <c r="N213" s="2" t="s">
        <v>3733</v>
      </c>
      <c r="O213" s="2" t="s">
        <v>816</v>
      </c>
      <c r="P213" s="2" t="s">
        <v>2710</v>
      </c>
    </row>
    <row r="214" spans="1:16" ht="13.2" customHeight="1" x14ac:dyDescent="0.25">
      <c r="A214" s="2">
        <v>212</v>
      </c>
      <c r="B214" s="2" t="s">
        <v>21698</v>
      </c>
      <c r="C214" s="2"/>
      <c r="D214" s="2" t="s">
        <v>21173</v>
      </c>
      <c r="E214" s="2" t="s">
        <v>21177</v>
      </c>
      <c r="F214" s="2" t="s">
        <v>21178</v>
      </c>
      <c r="G214" s="2" t="s">
        <v>21179</v>
      </c>
      <c r="H214" s="2">
        <v>10</v>
      </c>
      <c r="I214" s="2">
        <v>1</v>
      </c>
      <c r="J214" s="2" t="s">
        <v>21699</v>
      </c>
      <c r="K214" s="2"/>
      <c r="L214" s="2" t="s">
        <v>20522</v>
      </c>
      <c r="M214" s="2" t="s">
        <v>72</v>
      </c>
      <c r="N214" s="2" t="s">
        <v>3754</v>
      </c>
      <c r="O214" s="2" t="s">
        <v>816</v>
      </c>
      <c r="P214" s="2" t="s">
        <v>2710</v>
      </c>
    </row>
    <row r="215" spans="1:16" ht="13.2" customHeight="1" x14ac:dyDescent="0.25">
      <c r="A215" s="2">
        <v>213</v>
      </c>
      <c r="B215" s="2" t="s">
        <v>21700</v>
      </c>
      <c r="C215" s="2"/>
      <c r="D215" s="2" t="s">
        <v>21701</v>
      </c>
      <c r="E215" s="2" t="s">
        <v>21702</v>
      </c>
      <c r="F215" s="2" t="s">
        <v>21703</v>
      </c>
      <c r="G215" s="2" t="s">
        <v>21167</v>
      </c>
      <c r="H215" s="2" t="s">
        <v>21168</v>
      </c>
      <c r="I215" s="2">
        <v>1</v>
      </c>
      <c r="J215" s="2" t="s">
        <v>21704</v>
      </c>
      <c r="K215" s="2"/>
      <c r="L215" s="2" t="s">
        <v>20522</v>
      </c>
      <c r="M215" s="2" t="s">
        <v>72</v>
      </c>
      <c r="N215" s="2" t="s">
        <v>2540</v>
      </c>
      <c r="O215" s="2" t="s">
        <v>816</v>
      </c>
      <c r="P215" s="2" t="s">
        <v>2710</v>
      </c>
    </row>
    <row r="216" spans="1:16" ht="13.2" customHeight="1" x14ac:dyDescent="0.25">
      <c r="A216" s="2">
        <v>214</v>
      </c>
      <c r="B216" s="2" t="s">
        <v>21705</v>
      </c>
      <c r="C216" s="2"/>
      <c r="D216" s="2" t="s">
        <v>21706</v>
      </c>
      <c r="E216" s="2" t="s">
        <v>21707</v>
      </c>
      <c r="F216" s="2" t="s">
        <v>21708</v>
      </c>
      <c r="G216" s="2" t="s">
        <v>21709</v>
      </c>
      <c r="H216" s="2" t="s">
        <v>799</v>
      </c>
      <c r="I216" s="2">
        <v>1</v>
      </c>
      <c r="J216" s="2" t="s">
        <v>21710</v>
      </c>
      <c r="K216" s="2"/>
      <c r="L216" s="2" t="s">
        <v>20579</v>
      </c>
      <c r="M216" s="2" t="s">
        <v>72</v>
      </c>
      <c r="N216" s="2" t="s">
        <v>2556</v>
      </c>
      <c r="O216" s="2" t="s">
        <v>816</v>
      </c>
      <c r="P216" s="2" t="s">
        <v>2710</v>
      </c>
    </row>
    <row r="217" spans="1:16" ht="13.2" customHeight="1" x14ac:dyDescent="0.25">
      <c r="A217" s="2">
        <v>215</v>
      </c>
      <c r="B217" s="2" t="s">
        <v>21711</v>
      </c>
      <c r="C217" s="2"/>
      <c r="D217" s="2" t="s">
        <v>21712</v>
      </c>
      <c r="E217" s="2" t="s">
        <v>21713</v>
      </c>
      <c r="F217" s="2" t="s">
        <v>21714</v>
      </c>
      <c r="G217" s="2" t="s">
        <v>4345</v>
      </c>
      <c r="H217" s="2" t="s">
        <v>781</v>
      </c>
      <c r="I217" s="2">
        <v>1</v>
      </c>
      <c r="J217" s="2" t="s">
        <v>21715</v>
      </c>
      <c r="K217" s="2"/>
      <c r="L217" s="2" t="s">
        <v>20522</v>
      </c>
      <c r="M217" s="2" t="s">
        <v>72</v>
      </c>
      <c r="N217" s="2" t="s">
        <v>6974</v>
      </c>
      <c r="O217" s="2" t="s">
        <v>816</v>
      </c>
      <c r="P217" s="2" t="s">
        <v>2710</v>
      </c>
    </row>
    <row r="218" spans="1:16" ht="13.2" customHeight="1" x14ac:dyDescent="0.25">
      <c r="A218" s="2">
        <v>216</v>
      </c>
      <c r="B218" s="2" t="s">
        <v>21716</v>
      </c>
      <c r="C218" s="2"/>
      <c r="D218" s="2" t="s">
        <v>21717</v>
      </c>
      <c r="E218" s="2" t="s">
        <v>21718</v>
      </c>
      <c r="F218" s="2" t="s">
        <v>21719</v>
      </c>
      <c r="G218" s="2" t="s">
        <v>21720</v>
      </c>
      <c r="H218" s="2" t="s">
        <v>21721</v>
      </c>
      <c r="I218" s="2">
        <v>1</v>
      </c>
      <c r="J218" s="2" t="s">
        <v>21722</v>
      </c>
      <c r="K218" s="2"/>
      <c r="L218" s="2" t="s">
        <v>21058</v>
      </c>
      <c r="M218" s="2" t="s">
        <v>72</v>
      </c>
      <c r="N218" s="2" t="s">
        <v>5047</v>
      </c>
      <c r="O218" s="2" t="s">
        <v>816</v>
      </c>
      <c r="P218" s="2" t="s">
        <v>2710</v>
      </c>
    </row>
    <row r="219" spans="1:16" ht="13.2" customHeight="1" x14ac:dyDescent="0.25">
      <c r="A219" s="2">
        <v>217</v>
      </c>
      <c r="B219" s="2" t="s">
        <v>21723</v>
      </c>
      <c r="C219" s="2"/>
      <c r="D219" s="2" t="s">
        <v>21724</v>
      </c>
      <c r="E219" s="2" t="s">
        <v>21725</v>
      </c>
      <c r="F219" s="2" t="s">
        <v>21726</v>
      </c>
      <c r="G219" s="2" t="s">
        <v>21727</v>
      </c>
      <c r="H219" s="2" t="s">
        <v>21728</v>
      </c>
      <c r="I219" s="2">
        <v>1</v>
      </c>
      <c r="J219" s="2" t="s">
        <v>21729</v>
      </c>
      <c r="K219" s="2"/>
      <c r="L219" s="2" t="s">
        <v>20522</v>
      </c>
      <c r="M219" s="2" t="s">
        <v>72</v>
      </c>
      <c r="N219" s="2" t="s">
        <v>3789</v>
      </c>
      <c r="O219" s="2" t="s">
        <v>816</v>
      </c>
      <c r="P219" s="2" t="s">
        <v>2710</v>
      </c>
    </row>
    <row r="220" spans="1:16" ht="13.2" customHeight="1" x14ac:dyDescent="0.25">
      <c r="A220" s="2">
        <v>218</v>
      </c>
      <c r="B220" s="2" t="s">
        <v>21730</v>
      </c>
      <c r="C220" s="2"/>
      <c r="D220" s="2" t="s">
        <v>20975</v>
      </c>
      <c r="E220" s="2" t="s">
        <v>21731</v>
      </c>
      <c r="F220" s="2" t="s">
        <v>21732</v>
      </c>
      <c r="G220" s="2" t="s">
        <v>21733</v>
      </c>
      <c r="H220" s="2" t="s">
        <v>5525</v>
      </c>
      <c r="I220" s="2">
        <v>1</v>
      </c>
      <c r="J220" s="2" t="s">
        <v>21734</v>
      </c>
      <c r="K220" s="2"/>
      <c r="L220" s="2" t="s">
        <v>20522</v>
      </c>
      <c r="M220" s="2" t="s">
        <v>72</v>
      </c>
      <c r="N220" s="2" t="s">
        <v>3754</v>
      </c>
      <c r="O220" s="2" t="s">
        <v>816</v>
      </c>
      <c r="P220" s="2" t="s">
        <v>2710</v>
      </c>
    </row>
    <row r="221" spans="1:16" ht="13.2" customHeight="1" x14ac:dyDescent="0.25">
      <c r="A221" s="2">
        <v>219</v>
      </c>
      <c r="B221" s="2" t="s">
        <v>21735</v>
      </c>
      <c r="C221" s="2"/>
      <c r="D221" s="2" t="s">
        <v>21736</v>
      </c>
      <c r="E221" s="2" t="s">
        <v>21737</v>
      </c>
      <c r="F221" s="2" t="s">
        <v>21738</v>
      </c>
      <c r="G221" s="2" t="s">
        <v>21739</v>
      </c>
      <c r="H221" s="2" t="s">
        <v>21740</v>
      </c>
      <c r="I221" s="2">
        <v>1</v>
      </c>
      <c r="J221" s="2" t="s">
        <v>21741</v>
      </c>
      <c r="K221" s="2"/>
      <c r="L221" s="2" t="s">
        <v>20522</v>
      </c>
      <c r="M221" s="2" t="s">
        <v>72</v>
      </c>
      <c r="N221" s="2" t="s">
        <v>2540</v>
      </c>
      <c r="O221" s="2" t="s">
        <v>816</v>
      </c>
      <c r="P221" s="2" t="s">
        <v>2710</v>
      </c>
    </row>
    <row r="222" spans="1:16" ht="13.2" customHeight="1" x14ac:dyDescent="0.25">
      <c r="A222" s="2">
        <v>220</v>
      </c>
      <c r="B222" s="2" t="s">
        <v>21742</v>
      </c>
      <c r="C222" s="2"/>
      <c r="D222" s="2" t="s">
        <v>21743</v>
      </c>
      <c r="E222" s="2" t="s">
        <v>21744</v>
      </c>
      <c r="F222" s="2" t="s">
        <v>21745</v>
      </c>
      <c r="G222" s="2" t="s">
        <v>21746</v>
      </c>
      <c r="H222" s="2" t="s">
        <v>21747</v>
      </c>
      <c r="I222" s="2">
        <v>1</v>
      </c>
      <c r="J222" s="2" t="s">
        <v>21748</v>
      </c>
      <c r="K222" s="2"/>
      <c r="L222" s="2" t="s">
        <v>20522</v>
      </c>
      <c r="M222" s="2" t="s">
        <v>72</v>
      </c>
      <c r="N222" s="2" t="s">
        <v>13811</v>
      </c>
      <c r="O222" s="2" t="s">
        <v>816</v>
      </c>
      <c r="P222" s="2" t="s">
        <v>2710</v>
      </c>
    </row>
    <row r="223" spans="1:16" ht="13.2" customHeight="1" x14ac:dyDescent="0.25">
      <c r="A223" s="2">
        <v>221</v>
      </c>
      <c r="B223" s="2" t="s">
        <v>21749</v>
      </c>
      <c r="C223" s="2"/>
      <c r="D223" s="2" t="s">
        <v>21168</v>
      </c>
      <c r="E223" s="2" t="s">
        <v>21171</v>
      </c>
      <c r="F223" s="2" t="s">
        <v>21172</v>
      </c>
      <c r="G223" s="2" t="s">
        <v>21173</v>
      </c>
      <c r="H223" s="2" t="s">
        <v>21177</v>
      </c>
      <c r="I223" s="2">
        <v>1</v>
      </c>
      <c r="J223" s="2" t="s">
        <v>21438</v>
      </c>
      <c r="K223" s="2"/>
      <c r="L223" s="2" t="s">
        <v>20522</v>
      </c>
      <c r="M223" s="2" t="s">
        <v>72</v>
      </c>
      <c r="N223" s="2" t="s">
        <v>2540</v>
      </c>
      <c r="O223" s="2" t="s">
        <v>816</v>
      </c>
      <c r="P223" s="2" t="s">
        <v>2710</v>
      </c>
    </row>
    <row r="224" spans="1:16" ht="13.2" customHeight="1" x14ac:dyDescent="0.25">
      <c r="A224" s="2">
        <v>222</v>
      </c>
      <c r="B224" s="2" t="s">
        <v>21750</v>
      </c>
      <c r="C224" s="2"/>
      <c r="D224" s="2" t="s">
        <v>21173</v>
      </c>
      <c r="E224" s="2" t="s">
        <v>21177</v>
      </c>
      <c r="F224" s="2" t="s">
        <v>21178</v>
      </c>
      <c r="G224" s="2" t="s">
        <v>21179</v>
      </c>
      <c r="H224" s="2" t="s">
        <v>21165</v>
      </c>
      <c r="I224" s="2">
        <v>1</v>
      </c>
      <c r="J224" s="2" t="s">
        <v>21574</v>
      </c>
      <c r="K224" s="2"/>
      <c r="L224" s="2" t="s">
        <v>20522</v>
      </c>
      <c r="M224" s="2" t="s">
        <v>72</v>
      </c>
      <c r="N224" s="2" t="s">
        <v>7564</v>
      </c>
      <c r="O224" s="2" t="s">
        <v>816</v>
      </c>
      <c r="P224" s="2" t="s">
        <v>2711</v>
      </c>
    </row>
    <row r="225" spans="1:16" ht="13.2" customHeight="1" x14ac:dyDescent="0.25">
      <c r="A225" s="2">
        <v>223</v>
      </c>
      <c r="B225" s="2" t="s">
        <v>21751</v>
      </c>
      <c r="C225" s="2"/>
      <c r="D225" s="2" t="s">
        <v>21179</v>
      </c>
      <c r="E225" s="2" t="s">
        <v>21165</v>
      </c>
      <c r="F225" s="2" t="s">
        <v>21166</v>
      </c>
      <c r="G225" s="2" t="s">
        <v>21167</v>
      </c>
      <c r="H225" s="2" t="s">
        <v>21168</v>
      </c>
      <c r="I225" s="2">
        <v>1</v>
      </c>
      <c r="J225" s="2" t="s">
        <v>21644</v>
      </c>
      <c r="K225" s="2"/>
      <c r="L225" s="2" t="s">
        <v>20522</v>
      </c>
      <c r="M225" s="2" t="s">
        <v>72</v>
      </c>
      <c r="N225" s="2" t="s">
        <v>5089</v>
      </c>
      <c r="O225" s="2" t="s">
        <v>816</v>
      </c>
      <c r="P225" s="2" t="s">
        <v>2711</v>
      </c>
    </row>
    <row r="226" spans="1:16" ht="13.2" customHeight="1" x14ac:dyDescent="0.25">
      <c r="A226" s="2">
        <v>224</v>
      </c>
      <c r="B226" s="2" t="s">
        <v>21752</v>
      </c>
      <c r="C226" s="2"/>
      <c r="D226" s="2" t="s">
        <v>21167</v>
      </c>
      <c r="E226" s="2" t="s">
        <v>21168</v>
      </c>
      <c r="F226" s="2" t="s">
        <v>21171</v>
      </c>
      <c r="G226" s="2" t="s">
        <v>21172</v>
      </c>
      <c r="H226" s="2" t="s">
        <v>21173</v>
      </c>
      <c r="I226" s="2">
        <v>1</v>
      </c>
      <c r="J226" s="2" t="s">
        <v>21753</v>
      </c>
      <c r="K226" s="2"/>
      <c r="L226" s="2" t="s">
        <v>20522</v>
      </c>
      <c r="M226" s="2" t="s">
        <v>72</v>
      </c>
      <c r="N226" s="2" t="s">
        <v>1669</v>
      </c>
      <c r="O226" s="2" t="s">
        <v>816</v>
      </c>
      <c r="P226" s="2" t="s">
        <v>2711</v>
      </c>
    </row>
    <row r="227" spans="1:16" ht="13.2" customHeight="1" x14ac:dyDescent="0.25">
      <c r="A227" s="2">
        <v>225</v>
      </c>
      <c r="B227" s="2" t="s">
        <v>21754</v>
      </c>
      <c r="C227" s="2"/>
      <c r="D227" s="2" t="s">
        <v>21172</v>
      </c>
      <c r="E227" s="2" t="s">
        <v>21173</v>
      </c>
      <c r="F227" s="2" t="s">
        <v>21177</v>
      </c>
      <c r="G227" s="2" t="s">
        <v>21178</v>
      </c>
      <c r="H227" s="2" t="s">
        <v>21179</v>
      </c>
      <c r="I227" s="2">
        <v>1</v>
      </c>
      <c r="J227" s="2" t="s">
        <v>21619</v>
      </c>
      <c r="K227" s="2"/>
      <c r="L227" s="2" t="s">
        <v>20522</v>
      </c>
      <c r="M227" s="2" t="s">
        <v>72</v>
      </c>
      <c r="N227" s="2" t="s">
        <v>3887</v>
      </c>
      <c r="O227" s="2" t="s">
        <v>816</v>
      </c>
      <c r="P227" s="2" t="s">
        <v>2711</v>
      </c>
    </row>
    <row r="228" spans="1:16" ht="13.2" customHeight="1" x14ac:dyDescent="0.25">
      <c r="A228" s="2">
        <v>226</v>
      </c>
      <c r="B228" s="2" t="s">
        <v>21755</v>
      </c>
      <c r="C228" s="2"/>
      <c r="D228" s="2" t="s">
        <v>21178</v>
      </c>
      <c r="E228" s="2" t="s">
        <v>21179</v>
      </c>
      <c r="F228" s="2" t="s">
        <v>21165</v>
      </c>
      <c r="G228" s="2" t="s">
        <v>21166</v>
      </c>
      <c r="H228" s="2" t="s">
        <v>21167</v>
      </c>
      <c r="I228" s="2">
        <v>1</v>
      </c>
      <c r="J228" s="2" t="s">
        <v>21649</v>
      </c>
      <c r="K228" s="2"/>
      <c r="L228" s="2" t="s">
        <v>20522</v>
      </c>
      <c r="M228" s="2" t="s">
        <v>72</v>
      </c>
      <c r="N228" s="2" t="s">
        <v>2674</v>
      </c>
      <c r="O228" s="2" t="s">
        <v>816</v>
      </c>
      <c r="P228" s="2" t="s">
        <v>2711</v>
      </c>
    </row>
    <row r="229" spans="1:16" ht="13.2" customHeight="1" x14ac:dyDescent="0.25">
      <c r="A229" s="2">
        <v>227</v>
      </c>
      <c r="B229" s="2" t="s">
        <v>21643</v>
      </c>
      <c r="C229" s="2"/>
      <c r="D229" s="2" t="s">
        <v>21166</v>
      </c>
      <c r="E229" s="2" t="s">
        <v>21167</v>
      </c>
      <c r="F229" s="2" t="s">
        <v>21168</v>
      </c>
      <c r="G229" s="2" t="s">
        <v>21171</v>
      </c>
      <c r="H229" s="2" t="s">
        <v>21172</v>
      </c>
      <c r="I229" s="2">
        <v>1</v>
      </c>
      <c r="J229" s="2" t="s">
        <v>21548</v>
      </c>
      <c r="K229" s="2"/>
      <c r="L229" s="2" t="s">
        <v>20522</v>
      </c>
      <c r="M229" s="2" t="s">
        <v>72</v>
      </c>
      <c r="N229" s="2" t="s">
        <v>10600</v>
      </c>
      <c r="O229" s="2" t="s">
        <v>816</v>
      </c>
      <c r="P229" s="2" t="s">
        <v>2711</v>
      </c>
    </row>
    <row r="230" spans="1:16" ht="13.2" customHeight="1" x14ac:dyDescent="0.25">
      <c r="A230" s="2">
        <v>228</v>
      </c>
      <c r="B230" s="2" t="s">
        <v>21647</v>
      </c>
      <c r="C230" s="2"/>
      <c r="D230" s="2" t="s">
        <v>4067</v>
      </c>
      <c r="E230" s="2" t="s">
        <v>21756</v>
      </c>
      <c r="F230" s="2" t="s">
        <v>21757</v>
      </c>
      <c r="G230" s="2" t="s">
        <v>21177</v>
      </c>
      <c r="H230" s="2" t="s">
        <v>21178</v>
      </c>
      <c r="I230" s="2">
        <v>1</v>
      </c>
      <c r="J230" s="2" t="s">
        <v>21758</v>
      </c>
      <c r="K230" s="2"/>
      <c r="L230" s="2" t="s">
        <v>20522</v>
      </c>
      <c r="M230" s="2" t="s">
        <v>72</v>
      </c>
      <c r="N230" s="2" t="s">
        <v>3951</v>
      </c>
      <c r="O230" s="2" t="s">
        <v>816</v>
      </c>
      <c r="P230" s="2" t="s">
        <v>2711</v>
      </c>
    </row>
    <row r="231" spans="1:16" ht="13.2" customHeight="1" x14ac:dyDescent="0.25">
      <c r="A231" s="2">
        <v>229</v>
      </c>
      <c r="B231" s="2" t="s">
        <v>21759</v>
      </c>
      <c r="C231" s="2"/>
      <c r="D231" s="2" t="s">
        <v>21177</v>
      </c>
      <c r="E231" s="2" t="s">
        <v>21178</v>
      </c>
      <c r="F231" s="2" t="s">
        <v>21179</v>
      </c>
      <c r="G231" s="2" t="s">
        <v>21165</v>
      </c>
      <c r="H231" s="2" t="s">
        <v>21166</v>
      </c>
      <c r="I231" s="2">
        <v>5</v>
      </c>
      <c r="J231" s="2" t="s">
        <v>21656</v>
      </c>
      <c r="K231" s="2"/>
      <c r="L231" s="2" t="s">
        <v>20522</v>
      </c>
      <c r="M231" s="2" t="s">
        <v>72</v>
      </c>
      <c r="N231" s="2" t="s">
        <v>3887</v>
      </c>
      <c r="O231" s="2" t="s">
        <v>816</v>
      </c>
      <c r="P231" s="2" t="s">
        <v>2711</v>
      </c>
    </row>
    <row r="232" spans="1:16" ht="13.2" customHeight="1" x14ac:dyDescent="0.25">
      <c r="A232" s="2">
        <v>230</v>
      </c>
      <c r="B232" s="2" t="s">
        <v>21760</v>
      </c>
      <c r="C232" s="2"/>
      <c r="D232" s="2" t="s">
        <v>21165</v>
      </c>
      <c r="E232" s="2" t="s">
        <v>21166</v>
      </c>
      <c r="F232" s="2" t="s">
        <v>21167</v>
      </c>
      <c r="G232" s="2" t="s">
        <v>21168</v>
      </c>
      <c r="H232" s="2" t="s">
        <v>21171</v>
      </c>
      <c r="I232" s="2">
        <v>1</v>
      </c>
      <c r="J232" s="2" t="s">
        <v>21761</v>
      </c>
      <c r="K232" s="2"/>
      <c r="L232" s="2" t="s">
        <v>20522</v>
      </c>
      <c r="M232" s="2" t="s">
        <v>72</v>
      </c>
      <c r="N232" s="2" t="s">
        <v>10600</v>
      </c>
      <c r="O232" s="2" t="s">
        <v>816</v>
      </c>
      <c r="P232" s="2" t="s">
        <v>2711</v>
      </c>
    </row>
    <row r="233" spans="1:16" ht="13.2" customHeight="1" x14ac:dyDescent="0.25">
      <c r="A233" s="2">
        <v>231</v>
      </c>
      <c r="B233" s="2" t="s">
        <v>21762</v>
      </c>
      <c r="C233" s="2"/>
      <c r="D233" s="2" t="s">
        <v>21168</v>
      </c>
      <c r="E233" s="2" t="s">
        <v>21171</v>
      </c>
      <c r="F233" s="2" t="s">
        <v>21172</v>
      </c>
      <c r="G233" s="2" t="s">
        <v>21173</v>
      </c>
      <c r="H233" s="2" t="s">
        <v>21177</v>
      </c>
      <c r="I233" s="2">
        <v>5</v>
      </c>
      <c r="J233" s="2" t="s">
        <v>21763</v>
      </c>
      <c r="K233" s="2"/>
      <c r="L233" s="2" t="s">
        <v>20522</v>
      </c>
      <c r="M233" s="2" t="s">
        <v>72</v>
      </c>
      <c r="N233" s="2" t="s">
        <v>1669</v>
      </c>
      <c r="O233" s="2" t="s">
        <v>816</v>
      </c>
      <c r="P233" s="2" t="s">
        <v>2711</v>
      </c>
    </row>
    <row r="234" spans="1:16" ht="13.2" customHeight="1" x14ac:dyDescent="0.25">
      <c r="A234" s="2">
        <v>232</v>
      </c>
      <c r="B234" s="2" t="s">
        <v>21764</v>
      </c>
      <c r="C234" s="2"/>
      <c r="D234" s="2" t="s">
        <v>21173</v>
      </c>
      <c r="E234" s="2" t="s">
        <v>21177</v>
      </c>
      <c r="F234" s="2" t="s">
        <v>21178</v>
      </c>
      <c r="G234" s="2" t="s">
        <v>21179</v>
      </c>
      <c r="H234" s="2" t="s">
        <v>21165</v>
      </c>
      <c r="I234" s="2">
        <v>4</v>
      </c>
      <c r="J234" s="2" t="s">
        <v>21765</v>
      </c>
      <c r="K234" s="2"/>
      <c r="L234" s="2" t="s">
        <v>20587</v>
      </c>
      <c r="M234" s="2" t="s">
        <v>72</v>
      </c>
      <c r="N234" s="2" t="s">
        <v>1669</v>
      </c>
      <c r="O234" s="2" t="s">
        <v>816</v>
      </c>
      <c r="P234" s="2" t="s">
        <v>2711</v>
      </c>
    </row>
    <row r="235" spans="1:16" ht="13.2" customHeight="1" x14ac:dyDescent="0.25">
      <c r="A235" s="2">
        <v>233</v>
      </c>
      <c r="B235" s="2" t="s">
        <v>21766</v>
      </c>
      <c r="C235" s="2"/>
      <c r="D235" s="2" t="s">
        <v>21767</v>
      </c>
      <c r="E235" s="2" t="s">
        <v>21165</v>
      </c>
      <c r="F235" s="2" t="s">
        <v>21166</v>
      </c>
      <c r="G235" s="2" t="s">
        <v>21167</v>
      </c>
      <c r="H235" s="2" t="s">
        <v>21168</v>
      </c>
      <c r="I235" s="2">
        <v>4</v>
      </c>
      <c r="J235" s="2" t="s">
        <v>21768</v>
      </c>
      <c r="K235" s="2"/>
      <c r="L235" s="2" t="s">
        <v>20522</v>
      </c>
      <c r="M235" s="2" t="s">
        <v>72</v>
      </c>
      <c r="N235" s="2" t="s">
        <v>1669</v>
      </c>
      <c r="O235" s="2" t="s">
        <v>816</v>
      </c>
      <c r="P235" s="2" t="s">
        <v>2711</v>
      </c>
    </row>
    <row r="236" spans="1:16" ht="13.2" customHeight="1" x14ac:dyDescent="0.25">
      <c r="A236" s="2">
        <v>234</v>
      </c>
      <c r="B236" s="2" t="s">
        <v>21769</v>
      </c>
      <c r="C236" s="2"/>
      <c r="D236" s="2" t="s">
        <v>21167</v>
      </c>
      <c r="E236" s="2" t="s">
        <v>21168</v>
      </c>
      <c r="F236" s="2" t="s">
        <v>21171</v>
      </c>
      <c r="G236" s="2" t="s">
        <v>21172</v>
      </c>
      <c r="H236" s="2" t="s">
        <v>21173</v>
      </c>
      <c r="I236" s="2">
        <v>1</v>
      </c>
      <c r="J236" s="2" t="s">
        <v>21579</v>
      </c>
      <c r="K236" s="2"/>
      <c r="L236" s="2" t="s">
        <v>20522</v>
      </c>
      <c r="M236" s="2" t="s">
        <v>72</v>
      </c>
      <c r="N236" s="2" t="s">
        <v>3900</v>
      </c>
      <c r="O236" s="2" t="s">
        <v>816</v>
      </c>
      <c r="P236" s="2" t="s">
        <v>2711</v>
      </c>
    </row>
    <row r="237" spans="1:16" ht="13.2" customHeight="1" x14ac:dyDescent="0.25">
      <c r="A237" s="2">
        <v>235</v>
      </c>
      <c r="B237" s="2" t="s">
        <v>21770</v>
      </c>
      <c r="C237" s="2"/>
      <c r="D237" s="2" t="s">
        <v>21172</v>
      </c>
      <c r="E237" s="2" t="s">
        <v>21173</v>
      </c>
      <c r="F237" s="2" t="s">
        <v>21177</v>
      </c>
      <c r="G237" s="2" t="s">
        <v>21178</v>
      </c>
      <c r="H237" s="2" t="s">
        <v>21179</v>
      </c>
      <c r="I237" s="2">
        <v>1</v>
      </c>
      <c r="J237" s="2" t="s">
        <v>21619</v>
      </c>
      <c r="K237" s="2"/>
      <c r="L237" s="2" t="s">
        <v>20522</v>
      </c>
      <c r="M237" s="2" t="s">
        <v>72</v>
      </c>
      <c r="N237" s="2" t="s">
        <v>10589</v>
      </c>
      <c r="O237" s="2" t="s">
        <v>816</v>
      </c>
      <c r="P237" s="2" t="s">
        <v>2711</v>
      </c>
    </row>
    <row r="238" spans="1:16" ht="13.2" customHeight="1" x14ac:dyDescent="0.25">
      <c r="A238" s="2">
        <v>236</v>
      </c>
      <c r="B238" s="2" t="s">
        <v>21771</v>
      </c>
      <c r="C238" s="2"/>
      <c r="D238" s="2" t="s">
        <v>21178</v>
      </c>
      <c r="E238" s="2" t="s">
        <v>21179</v>
      </c>
      <c r="F238" s="2" t="s">
        <v>21165</v>
      </c>
      <c r="G238" s="2" t="s">
        <v>21166</v>
      </c>
      <c r="H238" s="2" t="s">
        <v>21167</v>
      </c>
      <c r="I238" s="2">
        <v>1</v>
      </c>
      <c r="J238" s="2" t="s">
        <v>21649</v>
      </c>
      <c r="K238" s="2"/>
      <c r="L238" s="2" t="s">
        <v>20522</v>
      </c>
      <c r="M238" s="2" t="s">
        <v>72</v>
      </c>
      <c r="N238" s="2" t="s">
        <v>1669</v>
      </c>
      <c r="O238" s="2" t="s">
        <v>816</v>
      </c>
      <c r="P238" s="2" t="s">
        <v>2711</v>
      </c>
    </row>
    <row r="239" spans="1:16" ht="13.2" customHeight="1" x14ac:dyDescent="0.25">
      <c r="A239" s="2">
        <v>237</v>
      </c>
      <c r="B239" s="2" t="s">
        <v>21772</v>
      </c>
      <c r="C239" s="2"/>
      <c r="D239" s="2" t="s">
        <v>21773</v>
      </c>
      <c r="E239" s="2" t="s">
        <v>21167</v>
      </c>
      <c r="F239" s="2" t="s">
        <v>21168</v>
      </c>
      <c r="G239" s="2" t="s">
        <v>21171</v>
      </c>
      <c r="H239" s="2" t="s">
        <v>21172</v>
      </c>
      <c r="I239" s="2">
        <v>1</v>
      </c>
      <c r="J239" s="2" t="s">
        <v>21774</v>
      </c>
      <c r="K239" s="2"/>
      <c r="L239" s="2" t="s">
        <v>20522</v>
      </c>
      <c r="M239" s="2" t="s">
        <v>72</v>
      </c>
      <c r="N239" s="2" t="s">
        <v>1669</v>
      </c>
      <c r="O239" s="2" t="s">
        <v>816</v>
      </c>
      <c r="P239" s="2" t="s">
        <v>2711</v>
      </c>
    </row>
    <row r="240" spans="1:16" ht="13.2" customHeight="1" x14ac:dyDescent="0.25">
      <c r="A240" s="2">
        <v>238</v>
      </c>
      <c r="B240" s="2" t="s">
        <v>21775</v>
      </c>
      <c r="C240" s="2"/>
      <c r="D240" s="2" t="s">
        <v>12335</v>
      </c>
      <c r="E240" s="2" t="s">
        <v>21776</v>
      </c>
      <c r="F240" s="2" t="s">
        <v>12337</v>
      </c>
      <c r="G240" s="2" t="s">
        <v>12336</v>
      </c>
      <c r="H240" s="2" t="s">
        <v>21777</v>
      </c>
      <c r="I240" s="2">
        <v>1</v>
      </c>
      <c r="J240" s="2" t="s">
        <v>21778</v>
      </c>
      <c r="K240" s="2"/>
      <c r="L240" s="2" t="s">
        <v>20522</v>
      </c>
      <c r="M240" s="2" t="s">
        <v>72</v>
      </c>
      <c r="N240" s="2" t="s">
        <v>7564</v>
      </c>
      <c r="O240" s="2" t="s">
        <v>816</v>
      </c>
      <c r="P240" s="2" t="s">
        <v>2711</v>
      </c>
    </row>
    <row r="241" spans="1:16" ht="13.2" customHeight="1" x14ac:dyDescent="0.25">
      <c r="A241" s="2">
        <v>239</v>
      </c>
      <c r="B241" s="2" t="s">
        <v>21779</v>
      </c>
      <c r="C241" s="2"/>
      <c r="D241" s="2" t="s">
        <v>21177</v>
      </c>
      <c r="E241" s="2" t="s">
        <v>21178</v>
      </c>
      <c r="F241" s="2" t="s">
        <v>21179</v>
      </c>
      <c r="G241" s="2" t="s">
        <v>21165</v>
      </c>
      <c r="H241" s="2" t="s">
        <v>21166</v>
      </c>
      <c r="I241" s="2">
        <v>1</v>
      </c>
      <c r="J241" s="2" t="s">
        <v>21600</v>
      </c>
      <c r="K241" s="2"/>
      <c r="L241" s="2" t="s">
        <v>20522</v>
      </c>
      <c r="M241" s="2" t="s">
        <v>72</v>
      </c>
      <c r="N241" s="2" t="s">
        <v>12414</v>
      </c>
      <c r="O241" s="2" t="s">
        <v>816</v>
      </c>
      <c r="P241" s="2" t="s">
        <v>2711</v>
      </c>
    </row>
    <row r="242" spans="1:16" ht="13.2" customHeight="1" x14ac:dyDescent="0.25">
      <c r="A242" s="2">
        <v>240</v>
      </c>
      <c r="B242" s="2" t="s">
        <v>21780</v>
      </c>
      <c r="C242" s="2"/>
      <c r="D242" s="2" t="s">
        <v>21165</v>
      </c>
      <c r="E242" s="2" t="s">
        <v>21166</v>
      </c>
      <c r="F242" s="2" t="s">
        <v>21167</v>
      </c>
      <c r="G242" s="2" t="s">
        <v>21168</v>
      </c>
      <c r="H242" s="2" t="s">
        <v>21171</v>
      </c>
      <c r="I242" s="2">
        <v>1</v>
      </c>
      <c r="J242" s="2" t="s">
        <v>21761</v>
      </c>
      <c r="K242" s="2"/>
      <c r="L242" s="2" t="s">
        <v>20522</v>
      </c>
      <c r="M242" s="2" t="s">
        <v>72</v>
      </c>
      <c r="N242" s="2" t="s">
        <v>9240</v>
      </c>
      <c r="O242" s="2" t="s">
        <v>816</v>
      </c>
      <c r="P242" s="2" t="s">
        <v>2711</v>
      </c>
    </row>
    <row r="243" spans="1:16" ht="13.2" customHeight="1" x14ac:dyDescent="0.25">
      <c r="A243" s="2">
        <v>241</v>
      </c>
      <c r="B243" s="2" t="s">
        <v>21781</v>
      </c>
      <c r="C243" s="2"/>
      <c r="D243" s="2" t="s">
        <v>21168</v>
      </c>
      <c r="E243" s="2" t="s">
        <v>21171</v>
      </c>
      <c r="F243" s="2" t="s">
        <v>21172</v>
      </c>
      <c r="G243" s="2" t="s">
        <v>21173</v>
      </c>
      <c r="H243" s="2" t="s">
        <v>21177</v>
      </c>
      <c r="I243" s="2">
        <v>1</v>
      </c>
      <c r="J243" s="2" t="s">
        <v>21438</v>
      </c>
      <c r="K243" s="2"/>
      <c r="L243" s="2" t="s">
        <v>20522</v>
      </c>
      <c r="M243" s="2" t="s">
        <v>72</v>
      </c>
      <c r="N243" s="2" t="s">
        <v>3900</v>
      </c>
      <c r="O243" s="2" t="s">
        <v>816</v>
      </c>
      <c r="P243" s="2" t="s">
        <v>2711</v>
      </c>
    </row>
    <row r="244" spans="1:16" ht="13.2" customHeight="1" x14ac:dyDescent="0.25">
      <c r="A244" s="2">
        <v>242</v>
      </c>
      <c r="B244" s="2" t="s">
        <v>21782</v>
      </c>
      <c r="C244" s="2"/>
      <c r="D244" s="2" t="s">
        <v>21173</v>
      </c>
      <c r="E244" s="2" t="s">
        <v>21177</v>
      </c>
      <c r="F244" s="2" t="s">
        <v>21178</v>
      </c>
      <c r="G244" s="2" t="s">
        <v>21179</v>
      </c>
      <c r="H244" s="2" t="s">
        <v>21165</v>
      </c>
      <c r="I244" s="2">
        <v>1</v>
      </c>
      <c r="J244" s="2" t="s">
        <v>21574</v>
      </c>
      <c r="K244" s="2"/>
      <c r="L244" s="2" t="s">
        <v>20522</v>
      </c>
      <c r="M244" s="2" t="s">
        <v>72</v>
      </c>
      <c r="N244" s="2" t="s">
        <v>2655</v>
      </c>
      <c r="O244" s="2" t="s">
        <v>816</v>
      </c>
      <c r="P244" s="2" t="s">
        <v>2711</v>
      </c>
    </row>
    <row r="245" spans="1:16" ht="13.2" customHeight="1" x14ac:dyDescent="0.25">
      <c r="A245" s="2">
        <v>243</v>
      </c>
      <c r="B245" s="2" t="s">
        <v>21783</v>
      </c>
      <c r="C245" s="2"/>
      <c r="D245" s="2" t="s">
        <v>21179</v>
      </c>
      <c r="E245" s="2" t="s">
        <v>21165</v>
      </c>
      <c r="F245" s="2" t="s">
        <v>21166</v>
      </c>
      <c r="G245" s="2" t="s">
        <v>21167</v>
      </c>
      <c r="H245" s="2" t="s">
        <v>21168</v>
      </c>
      <c r="I245" s="2">
        <v>1</v>
      </c>
      <c r="J245" s="2" t="s">
        <v>21644</v>
      </c>
      <c r="K245" s="2"/>
      <c r="L245" s="2" t="s">
        <v>20522</v>
      </c>
      <c r="M245" s="2" t="s">
        <v>72</v>
      </c>
      <c r="N245" s="2" t="s">
        <v>21784</v>
      </c>
      <c r="O245" s="2" t="s">
        <v>816</v>
      </c>
      <c r="P245" s="2" t="s">
        <v>2711</v>
      </c>
    </row>
    <row r="246" spans="1:16" ht="13.2" customHeight="1" x14ac:dyDescent="0.25">
      <c r="A246" s="2">
        <v>244</v>
      </c>
      <c r="B246" s="2" t="s">
        <v>21785</v>
      </c>
      <c r="C246" s="2"/>
      <c r="D246" s="2" t="s">
        <v>21167</v>
      </c>
      <c r="E246" s="2" t="s">
        <v>21168</v>
      </c>
      <c r="F246" s="2" t="s">
        <v>21171</v>
      </c>
      <c r="G246" s="2" t="s">
        <v>21172</v>
      </c>
      <c r="H246" s="2" t="s">
        <v>21173</v>
      </c>
      <c r="I246" s="2">
        <v>1</v>
      </c>
      <c r="J246" s="2" t="s">
        <v>21753</v>
      </c>
      <c r="K246" s="2"/>
      <c r="L246" s="2" t="s">
        <v>20522</v>
      </c>
      <c r="M246" s="2" t="s">
        <v>72</v>
      </c>
      <c r="N246" s="2" t="s">
        <v>3892</v>
      </c>
      <c r="O246" s="2" t="s">
        <v>816</v>
      </c>
      <c r="P246" s="2" t="s">
        <v>2711</v>
      </c>
    </row>
    <row r="247" spans="1:16" ht="13.2" customHeight="1" x14ac:dyDescent="0.25">
      <c r="A247" s="2">
        <v>245</v>
      </c>
      <c r="B247" s="2" t="s">
        <v>21786</v>
      </c>
      <c r="C247" s="2"/>
      <c r="D247" s="2" t="s">
        <v>21172</v>
      </c>
      <c r="E247" s="2" t="s">
        <v>21173</v>
      </c>
      <c r="F247" s="2" t="s">
        <v>21177</v>
      </c>
      <c r="G247" s="2" t="s">
        <v>21178</v>
      </c>
      <c r="H247" s="2" t="s">
        <v>21179</v>
      </c>
      <c r="I247" s="2">
        <v>1</v>
      </c>
      <c r="J247" s="2" t="s">
        <v>21619</v>
      </c>
      <c r="K247" s="2"/>
      <c r="L247" s="2" t="s">
        <v>20522</v>
      </c>
      <c r="M247" s="2" t="s">
        <v>72</v>
      </c>
      <c r="N247" s="2" t="s">
        <v>13850</v>
      </c>
      <c r="O247" s="2" t="s">
        <v>816</v>
      </c>
      <c r="P247" s="2" t="s">
        <v>2711</v>
      </c>
    </row>
    <row r="248" spans="1:16" ht="13.2" customHeight="1" x14ac:dyDescent="0.25">
      <c r="A248" s="2">
        <v>246</v>
      </c>
      <c r="B248" s="2" t="s">
        <v>21787</v>
      </c>
      <c r="C248" s="2"/>
      <c r="D248" s="2" t="s">
        <v>21178</v>
      </c>
      <c r="E248" s="2" t="s">
        <v>21179</v>
      </c>
      <c r="F248" s="2" t="s">
        <v>21165</v>
      </c>
      <c r="G248" s="2" t="s">
        <v>21166</v>
      </c>
      <c r="H248" s="2" t="s">
        <v>21167</v>
      </c>
      <c r="I248" s="2">
        <v>1</v>
      </c>
      <c r="J248" s="2" t="s">
        <v>21788</v>
      </c>
      <c r="K248" s="2"/>
      <c r="L248" s="2" t="s">
        <v>21058</v>
      </c>
      <c r="M248" s="2" t="s">
        <v>72</v>
      </c>
      <c r="N248" s="2" t="s">
        <v>6982</v>
      </c>
      <c r="O248" s="2" t="s">
        <v>816</v>
      </c>
      <c r="P248" s="2" t="s">
        <v>2711</v>
      </c>
    </row>
    <row r="249" spans="1:16" ht="13.2" customHeight="1" x14ac:dyDescent="0.25">
      <c r="A249" s="2">
        <v>247</v>
      </c>
      <c r="B249" s="2" t="s">
        <v>21789</v>
      </c>
      <c r="C249" s="2"/>
      <c r="D249" s="2" t="s">
        <v>21166</v>
      </c>
      <c r="E249" s="2" t="s">
        <v>21167</v>
      </c>
      <c r="F249" s="2" t="s">
        <v>21168</v>
      </c>
      <c r="G249" s="2" t="s">
        <v>21171</v>
      </c>
      <c r="H249" s="2" t="s">
        <v>21172</v>
      </c>
      <c r="I249" s="2">
        <v>1</v>
      </c>
      <c r="J249" s="2" t="s">
        <v>21790</v>
      </c>
      <c r="K249" s="2"/>
      <c r="L249" s="2" t="s">
        <v>21058</v>
      </c>
      <c r="M249" s="2" t="s">
        <v>72</v>
      </c>
      <c r="N249" s="2" t="s">
        <v>3887</v>
      </c>
      <c r="O249" s="2" t="s">
        <v>816</v>
      </c>
      <c r="P249" s="2" t="s">
        <v>2711</v>
      </c>
    </row>
    <row r="250" spans="1:16" ht="13.2" customHeight="1" x14ac:dyDescent="0.25">
      <c r="A250" s="2">
        <v>248</v>
      </c>
      <c r="B250" s="2" t="s">
        <v>21791</v>
      </c>
      <c r="C250" s="2"/>
      <c r="D250" s="2" t="s">
        <v>21171</v>
      </c>
      <c r="E250" s="2" t="s">
        <v>21172</v>
      </c>
      <c r="F250" s="2" t="s">
        <v>21173</v>
      </c>
      <c r="G250" s="2" t="s">
        <v>21177</v>
      </c>
      <c r="H250" s="2" t="s">
        <v>21178</v>
      </c>
      <c r="I250" s="2">
        <v>1</v>
      </c>
      <c r="J250" s="2" t="s">
        <v>21792</v>
      </c>
      <c r="K250" s="2"/>
      <c r="L250" s="2" t="s">
        <v>21058</v>
      </c>
      <c r="M250" s="2" t="s">
        <v>72</v>
      </c>
      <c r="N250" s="2" t="s">
        <v>1669</v>
      </c>
      <c r="O250" s="2" t="s">
        <v>816</v>
      </c>
      <c r="P250" s="2" t="s">
        <v>2711</v>
      </c>
    </row>
    <row r="251" spans="1:16" ht="13.2" customHeight="1" x14ac:dyDescent="0.25">
      <c r="A251" s="2">
        <v>249</v>
      </c>
      <c r="B251" s="2" t="s">
        <v>21793</v>
      </c>
      <c r="C251" s="2"/>
      <c r="D251" s="2" t="s">
        <v>21794</v>
      </c>
      <c r="E251" s="2" t="s">
        <v>20609</v>
      </c>
      <c r="F251" s="2" t="s">
        <v>21795</v>
      </c>
      <c r="G251" s="2" t="s">
        <v>20612</v>
      </c>
      <c r="H251" s="2" t="s">
        <v>21796</v>
      </c>
      <c r="I251" s="2">
        <v>2</v>
      </c>
      <c r="J251" s="2" t="s">
        <v>21797</v>
      </c>
      <c r="K251" s="2"/>
      <c r="L251" s="2" t="s">
        <v>20522</v>
      </c>
      <c r="M251" s="2" t="s">
        <v>72</v>
      </c>
      <c r="N251" s="2" t="s">
        <v>14379</v>
      </c>
      <c r="O251" s="2" t="s">
        <v>816</v>
      </c>
      <c r="P251" s="2" t="s">
        <v>2711</v>
      </c>
    </row>
    <row r="252" spans="1:16" ht="13.2" customHeight="1" x14ac:dyDescent="0.25">
      <c r="A252" s="2">
        <v>250</v>
      </c>
      <c r="B252" s="2" t="s">
        <v>21798</v>
      </c>
      <c r="C252" s="2"/>
      <c r="D252" s="2" t="s">
        <v>21165</v>
      </c>
      <c r="E252" s="2" t="s">
        <v>21166</v>
      </c>
      <c r="F252" s="2" t="s">
        <v>21167</v>
      </c>
      <c r="G252" s="2" t="s">
        <v>21168</v>
      </c>
      <c r="H252" s="2" t="s">
        <v>21171</v>
      </c>
      <c r="I252" s="2">
        <v>1</v>
      </c>
      <c r="J252" s="2" t="s">
        <v>21761</v>
      </c>
      <c r="K252" s="2"/>
      <c r="L252" s="2" t="s">
        <v>20522</v>
      </c>
      <c r="M252" s="2" t="s">
        <v>72</v>
      </c>
      <c r="N252" s="2" t="s">
        <v>12144</v>
      </c>
      <c r="O252" s="2" t="s">
        <v>816</v>
      </c>
      <c r="P252" s="2" t="s">
        <v>2711</v>
      </c>
    </row>
    <row r="253" spans="1:16" ht="13.2" customHeight="1" x14ac:dyDescent="0.25">
      <c r="A253" s="2">
        <v>251</v>
      </c>
      <c r="B253" s="2" t="s">
        <v>21799</v>
      </c>
      <c r="C253" s="2"/>
      <c r="D253" s="2" t="s">
        <v>21168</v>
      </c>
      <c r="E253" s="2" t="s">
        <v>21171</v>
      </c>
      <c r="F253" s="2" t="s">
        <v>21172</v>
      </c>
      <c r="G253" s="2" t="s">
        <v>21173</v>
      </c>
      <c r="H253" s="2" t="s">
        <v>21177</v>
      </c>
      <c r="I253" s="2">
        <v>3</v>
      </c>
      <c r="J253" s="2" t="s">
        <v>21800</v>
      </c>
      <c r="K253" s="2"/>
      <c r="L253" s="2" t="s">
        <v>20522</v>
      </c>
      <c r="M253" s="2" t="s">
        <v>72</v>
      </c>
      <c r="N253" s="2" t="s">
        <v>3986</v>
      </c>
      <c r="O253" s="2" t="s">
        <v>816</v>
      </c>
      <c r="P253" s="2" t="s">
        <v>2711</v>
      </c>
    </row>
    <row r="254" spans="1:16" ht="13.2" customHeight="1" x14ac:dyDescent="0.25">
      <c r="A254" s="2">
        <v>252</v>
      </c>
      <c r="B254" s="2" t="s">
        <v>21801</v>
      </c>
      <c r="C254" s="2"/>
      <c r="D254" s="2" t="s">
        <v>21173</v>
      </c>
      <c r="E254" s="2" t="s">
        <v>21177</v>
      </c>
      <c r="F254" s="2" t="s">
        <v>21178</v>
      </c>
      <c r="G254" s="2" t="s">
        <v>21179</v>
      </c>
      <c r="H254" s="2" t="s">
        <v>21165</v>
      </c>
      <c r="I254" s="2">
        <v>2</v>
      </c>
      <c r="J254" s="2" t="s">
        <v>21802</v>
      </c>
      <c r="K254" s="2"/>
      <c r="L254" s="2" t="s">
        <v>20522</v>
      </c>
      <c r="M254" s="2" t="s">
        <v>72</v>
      </c>
      <c r="N254" s="2" t="s">
        <v>1669</v>
      </c>
      <c r="O254" s="2" t="s">
        <v>816</v>
      </c>
      <c r="P254" s="2" t="s">
        <v>2711</v>
      </c>
    </row>
    <row r="255" spans="1:16" ht="13.2" customHeight="1" x14ac:dyDescent="0.25">
      <c r="A255" s="2">
        <v>253</v>
      </c>
      <c r="B255" s="2" t="s">
        <v>21803</v>
      </c>
      <c r="C255" s="2"/>
      <c r="D255" s="2" t="s">
        <v>21179</v>
      </c>
      <c r="E255" s="2" t="s">
        <v>21165</v>
      </c>
      <c r="F255" s="2" t="s">
        <v>21166</v>
      </c>
      <c r="G255" s="2" t="s">
        <v>21167</v>
      </c>
      <c r="H255" s="2" t="s">
        <v>21168</v>
      </c>
      <c r="I255" s="2">
        <v>1</v>
      </c>
      <c r="J255" s="2" t="s">
        <v>21644</v>
      </c>
      <c r="K255" s="2"/>
      <c r="L255" s="2" t="s">
        <v>20522</v>
      </c>
      <c r="M255" s="2" t="s">
        <v>72</v>
      </c>
      <c r="N255" s="2" t="s">
        <v>10600</v>
      </c>
      <c r="O255" s="2" t="s">
        <v>816</v>
      </c>
      <c r="P255" s="2" t="s">
        <v>2711</v>
      </c>
    </row>
    <row r="256" spans="1:16" ht="13.2" customHeight="1" x14ac:dyDescent="0.25">
      <c r="A256" s="2">
        <v>254</v>
      </c>
      <c r="B256" s="2" t="s">
        <v>21804</v>
      </c>
      <c r="C256" s="2"/>
      <c r="D256" s="2" t="s">
        <v>21167</v>
      </c>
      <c r="E256" s="2" t="s">
        <v>21168</v>
      </c>
      <c r="F256" s="2" t="s">
        <v>21171</v>
      </c>
      <c r="G256" s="2" t="s">
        <v>21172</v>
      </c>
      <c r="H256" s="2" t="s">
        <v>21173</v>
      </c>
      <c r="I256" s="2">
        <v>1</v>
      </c>
      <c r="J256" s="2" t="s">
        <v>21579</v>
      </c>
      <c r="K256" s="2"/>
      <c r="L256" s="2" t="s">
        <v>20522</v>
      </c>
      <c r="M256" s="2" t="s">
        <v>72</v>
      </c>
      <c r="N256" s="2" t="s">
        <v>2655</v>
      </c>
      <c r="O256" s="2" t="s">
        <v>816</v>
      </c>
      <c r="P256" s="2" t="s">
        <v>2711</v>
      </c>
    </row>
    <row r="257" spans="1:16" ht="13.2" customHeight="1" x14ac:dyDescent="0.25">
      <c r="A257" s="2">
        <v>255</v>
      </c>
      <c r="B257" s="2" t="s">
        <v>21805</v>
      </c>
      <c r="C257" s="2"/>
      <c r="D257" s="2" t="s">
        <v>21172</v>
      </c>
      <c r="E257" s="2" t="s">
        <v>21173</v>
      </c>
      <c r="F257" s="2" t="s">
        <v>21177</v>
      </c>
      <c r="G257" s="2" t="s">
        <v>21178</v>
      </c>
      <c r="H257" s="2" t="s">
        <v>21179</v>
      </c>
      <c r="I257" s="2">
        <v>1</v>
      </c>
      <c r="J257" s="2" t="s">
        <v>21619</v>
      </c>
      <c r="K257" s="2"/>
      <c r="L257" s="2" t="s">
        <v>20522</v>
      </c>
      <c r="M257" s="2" t="s">
        <v>72</v>
      </c>
      <c r="N257" s="2" t="s">
        <v>12106</v>
      </c>
      <c r="O257" s="2" t="s">
        <v>816</v>
      </c>
      <c r="P257" s="2" t="s">
        <v>2711</v>
      </c>
    </row>
    <row r="258" spans="1:16" ht="13.2" customHeight="1" x14ac:dyDescent="0.25">
      <c r="A258" s="2">
        <v>256</v>
      </c>
      <c r="B258" s="2" t="s">
        <v>21806</v>
      </c>
      <c r="C258" s="2"/>
      <c r="D258" s="2" t="s">
        <v>21178</v>
      </c>
      <c r="E258" s="2" t="s">
        <v>21179</v>
      </c>
      <c r="F258" s="2" t="s">
        <v>21165</v>
      </c>
      <c r="G258" s="2" t="s">
        <v>21166</v>
      </c>
      <c r="H258" s="2" t="s">
        <v>21167</v>
      </c>
      <c r="I258" s="2">
        <v>1</v>
      </c>
      <c r="J258" s="2" t="s">
        <v>21649</v>
      </c>
      <c r="K258" s="2"/>
      <c r="L258" s="2" t="s">
        <v>20522</v>
      </c>
      <c r="M258" s="2" t="s">
        <v>72</v>
      </c>
      <c r="N258" s="2" t="s">
        <v>4033</v>
      </c>
      <c r="O258" s="2" t="s">
        <v>816</v>
      </c>
      <c r="P258" s="2" t="s">
        <v>2711</v>
      </c>
    </row>
    <row r="259" spans="1:16" ht="13.2" customHeight="1" x14ac:dyDescent="0.25">
      <c r="A259" s="2">
        <v>257</v>
      </c>
      <c r="B259" s="2" t="s">
        <v>21807</v>
      </c>
      <c r="C259" s="2"/>
      <c r="D259" s="2" t="s">
        <v>21808</v>
      </c>
      <c r="E259" s="2" t="s">
        <v>21809</v>
      </c>
      <c r="F259" s="2" t="s">
        <v>21810</v>
      </c>
      <c r="G259" s="2" t="s">
        <v>21811</v>
      </c>
      <c r="H259" s="2" t="s">
        <v>21812</v>
      </c>
      <c r="I259" s="2">
        <v>2</v>
      </c>
      <c r="J259" s="2" t="s">
        <v>21813</v>
      </c>
      <c r="K259" s="2"/>
      <c r="L259" s="2" t="s">
        <v>20522</v>
      </c>
      <c r="M259" s="2" t="s">
        <v>72</v>
      </c>
      <c r="N259" s="2" t="s">
        <v>12190</v>
      </c>
      <c r="O259" s="2" t="s">
        <v>816</v>
      </c>
      <c r="P259" s="2" t="s">
        <v>2711</v>
      </c>
    </row>
    <row r="260" spans="1:16" ht="13.2" customHeight="1" x14ac:dyDescent="0.25">
      <c r="A260" s="2">
        <v>258</v>
      </c>
      <c r="B260" s="2" t="s">
        <v>21814</v>
      </c>
      <c r="C260" s="2"/>
      <c r="D260" s="2" t="s">
        <v>21171</v>
      </c>
      <c r="E260" s="2" t="s">
        <v>21172</v>
      </c>
      <c r="F260" s="2" t="s">
        <v>21173</v>
      </c>
      <c r="G260" s="2" t="s">
        <v>21177</v>
      </c>
      <c r="H260" s="2" t="s">
        <v>21178</v>
      </c>
      <c r="I260" s="2">
        <v>1</v>
      </c>
      <c r="J260" s="2" t="s">
        <v>21598</v>
      </c>
      <c r="K260" s="2"/>
      <c r="L260" s="2" t="s">
        <v>20522</v>
      </c>
      <c r="M260" s="2" t="s">
        <v>72</v>
      </c>
      <c r="N260" s="2" t="s">
        <v>2655</v>
      </c>
      <c r="O260" s="2" t="s">
        <v>816</v>
      </c>
      <c r="P260" s="2" t="s">
        <v>2711</v>
      </c>
    </row>
    <row r="261" spans="1:16" ht="13.2" customHeight="1" x14ac:dyDescent="0.25">
      <c r="A261" s="2">
        <v>259</v>
      </c>
      <c r="B261" s="2" t="s">
        <v>21815</v>
      </c>
      <c r="C261" s="2"/>
      <c r="D261" s="2" t="s">
        <v>21177</v>
      </c>
      <c r="E261" s="2" t="s">
        <v>21178</v>
      </c>
      <c r="F261" s="2" t="s">
        <v>21179</v>
      </c>
      <c r="G261" s="2" t="s">
        <v>21165</v>
      </c>
      <c r="H261" s="2" t="s">
        <v>21166</v>
      </c>
      <c r="I261" s="2">
        <v>1</v>
      </c>
      <c r="J261" s="2" t="s">
        <v>21600</v>
      </c>
      <c r="K261" s="2"/>
      <c r="L261" s="2" t="s">
        <v>20522</v>
      </c>
      <c r="M261" s="2" t="s">
        <v>72</v>
      </c>
      <c r="N261" s="2" t="s">
        <v>3887</v>
      </c>
      <c r="O261" s="2" t="s">
        <v>816</v>
      </c>
      <c r="P261" s="2" t="s">
        <v>2711</v>
      </c>
    </row>
    <row r="262" spans="1:16" ht="13.2" customHeight="1" x14ac:dyDescent="0.25">
      <c r="A262" s="2">
        <v>260</v>
      </c>
      <c r="B262" s="2" t="s">
        <v>21816</v>
      </c>
      <c r="C262" s="2"/>
      <c r="D262" s="2" t="s">
        <v>21165</v>
      </c>
      <c r="E262" s="2" t="s">
        <v>21166</v>
      </c>
      <c r="F262" s="2" t="s">
        <v>21167</v>
      </c>
      <c r="G262" s="2" t="s">
        <v>21168</v>
      </c>
      <c r="H262" s="2" t="s">
        <v>21171</v>
      </c>
      <c r="I262" s="2">
        <v>1</v>
      </c>
      <c r="J262" s="2" t="s">
        <v>21817</v>
      </c>
      <c r="K262" s="2"/>
      <c r="L262" s="2" t="s">
        <v>20522</v>
      </c>
      <c r="M262" s="2" t="s">
        <v>72</v>
      </c>
      <c r="N262" s="2" t="s">
        <v>21818</v>
      </c>
      <c r="O262" s="2" t="s">
        <v>816</v>
      </c>
      <c r="P262" s="2" t="s">
        <v>2711</v>
      </c>
    </row>
    <row r="263" spans="1:16" ht="13.2" customHeight="1" x14ac:dyDescent="0.25">
      <c r="A263" s="2">
        <v>261</v>
      </c>
      <c r="B263" s="2" t="s">
        <v>21819</v>
      </c>
      <c r="C263" s="2"/>
      <c r="D263" s="2" t="s">
        <v>21168</v>
      </c>
      <c r="E263" s="2" t="s">
        <v>21171</v>
      </c>
      <c r="F263" s="2" t="s">
        <v>21172</v>
      </c>
      <c r="G263" s="2" t="s">
        <v>21173</v>
      </c>
      <c r="H263" s="2" t="s">
        <v>21177</v>
      </c>
      <c r="I263" s="2">
        <v>1</v>
      </c>
      <c r="J263" s="2" t="s">
        <v>21606</v>
      </c>
      <c r="K263" s="2"/>
      <c r="L263" s="2" t="s">
        <v>20522</v>
      </c>
      <c r="M263" s="2" t="s">
        <v>72</v>
      </c>
      <c r="N263" s="2" t="s">
        <v>3936</v>
      </c>
      <c r="O263" s="2" t="s">
        <v>816</v>
      </c>
      <c r="P263" s="2" t="s">
        <v>2711</v>
      </c>
    </row>
    <row r="264" spans="1:16" ht="13.2" customHeight="1" x14ac:dyDescent="0.25">
      <c r="A264" s="2">
        <v>262</v>
      </c>
      <c r="B264" s="2" t="s">
        <v>21820</v>
      </c>
      <c r="C264" s="2"/>
      <c r="D264" s="2" t="s">
        <v>21173</v>
      </c>
      <c r="E264" s="2" t="s">
        <v>21177</v>
      </c>
      <c r="F264" s="2" t="s">
        <v>21178</v>
      </c>
      <c r="G264" s="2" t="s">
        <v>21179</v>
      </c>
      <c r="H264" s="2" t="s">
        <v>21165</v>
      </c>
      <c r="I264" s="2">
        <v>1</v>
      </c>
      <c r="J264" s="2" t="s">
        <v>21821</v>
      </c>
      <c r="K264" s="2"/>
      <c r="L264" s="2" t="s">
        <v>20522</v>
      </c>
      <c r="M264" s="2" t="s">
        <v>72</v>
      </c>
      <c r="N264" s="2" t="s">
        <v>3900</v>
      </c>
      <c r="O264" s="2" t="s">
        <v>816</v>
      </c>
      <c r="P264" s="2" t="s">
        <v>2711</v>
      </c>
    </row>
    <row r="265" spans="1:16" ht="13.2" customHeight="1" x14ac:dyDescent="0.25">
      <c r="A265" s="2">
        <v>263</v>
      </c>
      <c r="B265" s="2" t="s">
        <v>21822</v>
      </c>
      <c r="C265" s="2"/>
      <c r="D265" s="2" t="s">
        <v>21179</v>
      </c>
      <c r="E265" s="2" t="s">
        <v>21165</v>
      </c>
      <c r="F265" s="2" t="s">
        <v>21166</v>
      </c>
      <c r="G265" s="2" t="s">
        <v>21167</v>
      </c>
      <c r="H265" s="2" t="s">
        <v>21168</v>
      </c>
      <c r="I265" s="2">
        <v>1</v>
      </c>
      <c r="J265" s="2" t="s">
        <v>21823</v>
      </c>
      <c r="K265" s="2"/>
      <c r="L265" s="2" t="s">
        <v>20522</v>
      </c>
      <c r="M265" s="2" t="s">
        <v>72</v>
      </c>
      <c r="N265" s="2" t="s">
        <v>2655</v>
      </c>
      <c r="O265" s="2" t="s">
        <v>816</v>
      </c>
      <c r="P265" s="2" t="s">
        <v>2711</v>
      </c>
    </row>
    <row r="266" spans="1:16" ht="13.2" customHeight="1" x14ac:dyDescent="0.25">
      <c r="A266" s="2">
        <v>264</v>
      </c>
      <c r="B266" s="2" t="s">
        <v>21824</v>
      </c>
      <c r="C266" s="2"/>
      <c r="D266" s="2" t="s">
        <v>21167</v>
      </c>
      <c r="E266" s="2" t="s">
        <v>21168</v>
      </c>
      <c r="F266" s="2" t="s">
        <v>21171</v>
      </c>
      <c r="G266" s="2" t="s">
        <v>21172</v>
      </c>
      <c r="H266" s="2" t="s">
        <v>21173</v>
      </c>
      <c r="I266" s="2">
        <v>1</v>
      </c>
      <c r="J266" s="2" t="s">
        <v>21825</v>
      </c>
      <c r="K266" s="2"/>
      <c r="L266" s="2" t="s">
        <v>20522</v>
      </c>
      <c r="M266" s="2" t="s">
        <v>72</v>
      </c>
      <c r="N266" s="2" t="s">
        <v>3887</v>
      </c>
      <c r="O266" s="2" t="s">
        <v>816</v>
      </c>
      <c r="P266" s="2" t="s">
        <v>2711</v>
      </c>
    </row>
    <row r="267" spans="1:16" ht="13.2" customHeight="1" x14ac:dyDescent="0.25">
      <c r="A267" s="2">
        <v>265</v>
      </c>
      <c r="B267" s="2" t="s">
        <v>21826</v>
      </c>
      <c r="C267" s="2"/>
      <c r="D267" s="2" t="s">
        <v>21172</v>
      </c>
      <c r="E267" s="2" t="s">
        <v>21173</v>
      </c>
      <c r="F267" s="2" t="s">
        <v>21177</v>
      </c>
      <c r="G267" s="2" t="s">
        <v>21178</v>
      </c>
      <c r="H267" s="2" t="s">
        <v>21179</v>
      </c>
      <c r="I267" s="2">
        <v>1</v>
      </c>
      <c r="J267" s="2" t="s">
        <v>21619</v>
      </c>
      <c r="K267" s="2"/>
      <c r="L267" s="2" t="s">
        <v>20522</v>
      </c>
      <c r="M267" s="2" t="s">
        <v>72</v>
      </c>
      <c r="N267" s="2" t="s">
        <v>10589</v>
      </c>
      <c r="O267" s="2" t="s">
        <v>816</v>
      </c>
      <c r="P267" s="2" t="s">
        <v>2711</v>
      </c>
    </row>
    <row r="268" spans="1:16" ht="13.2" customHeight="1" x14ac:dyDescent="0.25">
      <c r="A268" s="2">
        <v>266</v>
      </c>
      <c r="B268" s="2" t="s">
        <v>21827</v>
      </c>
      <c r="C268" s="2"/>
      <c r="D268" s="2" t="s">
        <v>21178</v>
      </c>
      <c r="E268" s="2" t="s">
        <v>21179</v>
      </c>
      <c r="F268" s="2" t="s">
        <v>21165</v>
      </c>
      <c r="G268" s="2" t="s">
        <v>21166</v>
      </c>
      <c r="H268" s="2" t="s">
        <v>21167</v>
      </c>
      <c r="I268" s="2">
        <v>3</v>
      </c>
      <c r="J268" s="2" t="s">
        <v>21828</v>
      </c>
      <c r="K268" s="2"/>
      <c r="L268" s="2" t="s">
        <v>20587</v>
      </c>
      <c r="M268" s="2" t="s">
        <v>72</v>
      </c>
      <c r="N268" s="2" t="s">
        <v>3887</v>
      </c>
      <c r="O268" s="2" t="s">
        <v>816</v>
      </c>
      <c r="P268" s="2" t="s">
        <v>2711</v>
      </c>
    </row>
    <row r="269" spans="1:16" ht="13.2" customHeight="1" x14ac:dyDescent="0.25">
      <c r="A269" s="2">
        <v>267</v>
      </c>
      <c r="B269" s="2" t="s">
        <v>21829</v>
      </c>
      <c r="C269" s="2"/>
      <c r="D269" s="2" t="s">
        <v>4067</v>
      </c>
      <c r="E269" s="2" t="s">
        <v>4068</v>
      </c>
      <c r="F269" s="2" t="s">
        <v>21830</v>
      </c>
      <c r="G269" s="2" t="s">
        <v>21831</v>
      </c>
      <c r="H269" s="2" t="s">
        <v>4071</v>
      </c>
      <c r="I269" s="2">
        <v>4</v>
      </c>
      <c r="J269" s="2" t="s">
        <v>21832</v>
      </c>
      <c r="K269" s="2"/>
      <c r="L269" s="2" t="s">
        <v>20522</v>
      </c>
      <c r="M269" s="2" t="s">
        <v>72</v>
      </c>
      <c r="N269" s="2" t="s">
        <v>1669</v>
      </c>
      <c r="O269" s="2" t="s">
        <v>816</v>
      </c>
      <c r="P269" s="2" t="s">
        <v>2711</v>
      </c>
    </row>
    <row r="270" spans="1:16" ht="13.2" customHeight="1" x14ac:dyDescent="0.25">
      <c r="A270" s="2">
        <v>268</v>
      </c>
      <c r="B270" s="2" t="s">
        <v>21833</v>
      </c>
      <c r="C270" s="2"/>
      <c r="D270" s="2" t="s">
        <v>21834</v>
      </c>
      <c r="E270" s="2" t="s">
        <v>21835</v>
      </c>
      <c r="F270" s="2" t="s">
        <v>21836</v>
      </c>
      <c r="G270" s="2" t="s">
        <v>21837</v>
      </c>
      <c r="H270" s="2" t="s">
        <v>21838</v>
      </c>
      <c r="I270" s="2">
        <v>3</v>
      </c>
      <c r="J270" s="2" t="s">
        <v>21839</v>
      </c>
      <c r="K270" s="2"/>
      <c r="L270" s="2" t="s">
        <v>21058</v>
      </c>
      <c r="M270" s="2" t="s">
        <v>72</v>
      </c>
      <c r="N270" s="2" t="s">
        <v>6247</v>
      </c>
      <c r="O270" s="2" t="s">
        <v>816</v>
      </c>
      <c r="P270" s="2" t="s">
        <v>2711</v>
      </c>
    </row>
    <row r="271" spans="1:16" ht="13.2" customHeight="1" x14ac:dyDescent="0.25">
      <c r="A271" s="2">
        <v>269</v>
      </c>
      <c r="B271" s="2" t="s">
        <v>21840</v>
      </c>
      <c r="C271" s="2"/>
      <c r="D271" s="2" t="s">
        <v>21177</v>
      </c>
      <c r="E271" s="2" t="s">
        <v>21178</v>
      </c>
      <c r="F271" s="2" t="s">
        <v>21179</v>
      </c>
      <c r="G271" s="2" t="s">
        <v>21165</v>
      </c>
      <c r="H271" s="2" t="s">
        <v>21166</v>
      </c>
      <c r="I271" s="2">
        <v>1</v>
      </c>
      <c r="J271" s="2" t="s">
        <v>21841</v>
      </c>
      <c r="K271" s="2"/>
      <c r="L271" s="2" t="s">
        <v>20522</v>
      </c>
      <c r="M271" s="2" t="s">
        <v>72</v>
      </c>
      <c r="N271" s="2" t="s">
        <v>3900</v>
      </c>
      <c r="O271" s="2" t="s">
        <v>816</v>
      </c>
      <c r="P271" s="2" t="s">
        <v>2711</v>
      </c>
    </row>
    <row r="272" spans="1:16" ht="13.2" customHeight="1" x14ac:dyDescent="0.25">
      <c r="A272" s="2">
        <v>270</v>
      </c>
      <c r="B272" s="2" t="s">
        <v>21842</v>
      </c>
      <c r="C272" s="2"/>
      <c r="D272" s="2" t="s">
        <v>21165</v>
      </c>
      <c r="E272" s="2" t="s">
        <v>21166</v>
      </c>
      <c r="F272" s="2" t="s">
        <v>21167</v>
      </c>
      <c r="G272" s="2" t="s">
        <v>21168</v>
      </c>
      <c r="H272" s="2" t="s">
        <v>21171</v>
      </c>
      <c r="I272" s="2">
        <v>1</v>
      </c>
      <c r="J272" s="2" t="s">
        <v>21843</v>
      </c>
      <c r="K272" s="2"/>
      <c r="L272" s="2" t="s">
        <v>20587</v>
      </c>
      <c r="M272" s="2" t="s">
        <v>72</v>
      </c>
      <c r="N272" s="2" t="s">
        <v>3900</v>
      </c>
      <c r="O272" s="2" t="s">
        <v>816</v>
      </c>
      <c r="P272" s="2" t="s">
        <v>2711</v>
      </c>
    </row>
    <row r="273" spans="1:16" ht="13.2" customHeight="1" x14ac:dyDescent="0.25">
      <c r="A273" s="2">
        <v>271</v>
      </c>
      <c r="B273" s="2" t="s">
        <v>21844</v>
      </c>
      <c r="C273" s="2"/>
      <c r="D273" s="2" t="s">
        <v>21168</v>
      </c>
      <c r="E273" s="2" t="s">
        <v>21171</v>
      </c>
      <c r="F273" s="2" t="s">
        <v>21172</v>
      </c>
      <c r="G273" s="2" t="s">
        <v>21173</v>
      </c>
      <c r="H273" s="2" t="s">
        <v>21177</v>
      </c>
      <c r="I273" s="2">
        <v>1</v>
      </c>
      <c r="J273" s="2" t="s">
        <v>21438</v>
      </c>
      <c r="K273" s="2"/>
      <c r="L273" s="2" t="s">
        <v>20522</v>
      </c>
      <c r="M273" s="2" t="s">
        <v>72</v>
      </c>
      <c r="N273" s="2" t="s">
        <v>1669</v>
      </c>
      <c r="O273" s="2" t="s">
        <v>816</v>
      </c>
      <c r="P273" s="2" t="s">
        <v>2711</v>
      </c>
    </row>
    <row r="274" spans="1:16" ht="13.2" customHeight="1" x14ac:dyDescent="0.25">
      <c r="A274" s="2">
        <v>272</v>
      </c>
      <c r="B274" s="2" t="s">
        <v>21845</v>
      </c>
      <c r="C274" s="2"/>
      <c r="D274" s="2" t="s">
        <v>21173</v>
      </c>
      <c r="E274" s="2" t="s">
        <v>21177</v>
      </c>
      <c r="F274" s="2" t="s">
        <v>21178</v>
      </c>
      <c r="G274" s="2" t="s">
        <v>21179</v>
      </c>
      <c r="H274" s="2" t="s">
        <v>21165</v>
      </c>
      <c r="I274" s="2">
        <v>1</v>
      </c>
      <c r="J274" s="2" t="s">
        <v>21574</v>
      </c>
      <c r="K274" s="2"/>
      <c r="L274" s="2" t="s">
        <v>20522</v>
      </c>
      <c r="M274" s="2" t="s">
        <v>72</v>
      </c>
      <c r="N274" s="2" t="s">
        <v>3900</v>
      </c>
      <c r="O274" s="2" t="s">
        <v>816</v>
      </c>
      <c r="P274" s="2" t="s">
        <v>2711</v>
      </c>
    </row>
    <row r="275" spans="1:16" ht="13.2" customHeight="1" x14ac:dyDescent="0.25">
      <c r="A275" s="2">
        <v>273</v>
      </c>
      <c r="B275" s="2" t="s">
        <v>21846</v>
      </c>
      <c r="C275" s="2"/>
      <c r="D275" s="2" t="s">
        <v>21179</v>
      </c>
      <c r="E275" s="2" t="s">
        <v>21165</v>
      </c>
      <c r="F275" s="2" t="s">
        <v>21166</v>
      </c>
      <c r="G275" s="2" t="s">
        <v>21167</v>
      </c>
      <c r="H275" s="2" t="s">
        <v>21168</v>
      </c>
      <c r="I275" s="2">
        <v>1</v>
      </c>
      <c r="J275" s="2" t="s">
        <v>21644</v>
      </c>
      <c r="K275" s="2"/>
      <c r="L275" s="2" t="s">
        <v>20522</v>
      </c>
      <c r="M275" s="2" t="s">
        <v>72</v>
      </c>
      <c r="N275" s="2" t="s">
        <v>3887</v>
      </c>
      <c r="O275" s="2" t="s">
        <v>816</v>
      </c>
      <c r="P275" s="2" t="s">
        <v>2711</v>
      </c>
    </row>
    <row r="276" spans="1:16" ht="13.2" customHeight="1" x14ac:dyDescent="0.25">
      <c r="A276" s="2">
        <v>274</v>
      </c>
      <c r="B276" s="2" t="s">
        <v>21847</v>
      </c>
      <c r="C276" s="2"/>
      <c r="D276" s="2" t="s">
        <v>21167</v>
      </c>
      <c r="E276" s="2" t="s">
        <v>21168</v>
      </c>
      <c r="F276" s="2" t="s">
        <v>21171</v>
      </c>
      <c r="G276" s="2" t="s">
        <v>21172</v>
      </c>
      <c r="H276" s="2" t="s">
        <v>21173</v>
      </c>
      <c r="I276" s="2">
        <v>1</v>
      </c>
      <c r="J276" s="2" t="s">
        <v>21579</v>
      </c>
      <c r="K276" s="2"/>
      <c r="L276" s="2" t="s">
        <v>20522</v>
      </c>
      <c r="M276" s="2" t="s">
        <v>72</v>
      </c>
      <c r="N276" s="2" t="s">
        <v>3887</v>
      </c>
      <c r="O276" s="2" t="s">
        <v>816</v>
      </c>
      <c r="P276" s="2" t="s">
        <v>2711</v>
      </c>
    </row>
    <row r="277" spans="1:16" ht="13.2" customHeight="1" x14ac:dyDescent="0.25">
      <c r="A277" s="2">
        <v>275</v>
      </c>
      <c r="B277" s="2" t="s">
        <v>21833</v>
      </c>
      <c r="C277" s="2"/>
      <c r="D277" s="2" t="s">
        <v>21172</v>
      </c>
      <c r="E277" s="2" t="s">
        <v>21173</v>
      </c>
      <c r="F277" s="2" t="s">
        <v>21177</v>
      </c>
      <c r="G277" s="2" t="s">
        <v>21178</v>
      </c>
      <c r="H277" s="2" t="s">
        <v>21179</v>
      </c>
      <c r="I277" s="2">
        <v>1</v>
      </c>
      <c r="J277" s="2" t="s">
        <v>21848</v>
      </c>
      <c r="K277" s="2"/>
      <c r="L277" s="2" t="s">
        <v>21058</v>
      </c>
      <c r="M277" s="2" t="s">
        <v>72</v>
      </c>
      <c r="N277" s="2" t="s">
        <v>6247</v>
      </c>
      <c r="O277" s="2" t="s">
        <v>816</v>
      </c>
      <c r="P277" s="2" t="s">
        <v>2711</v>
      </c>
    </row>
    <row r="278" spans="1:16" ht="13.2" customHeight="1" x14ac:dyDescent="0.25">
      <c r="A278" s="2">
        <v>276</v>
      </c>
      <c r="B278" s="2" t="s">
        <v>21849</v>
      </c>
      <c r="C278" s="2"/>
      <c r="D278" s="2" t="s">
        <v>21178</v>
      </c>
      <c r="E278" s="2" t="s">
        <v>21179</v>
      </c>
      <c r="F278" s="2" t="s">
        <v>21165</v>
      </c>
      <c r="G278" s="2" t="s">
        <v>21166</v>
      </c>
      <c r="H278" s="2" t="s">
        <v>21167</v>
      </c>
      <c r="I278" s="2">
        <v>1</v>
      </c>
      <c r="J278" s="2" t="s">
        <v>21850</v>
      </c>
      <c r="K278" s="2"/>
      <c r="L278" s="2" t="s">
        <v>20522</v>
      </c>
      <c r="M278" s="2" t="s">
        <v>72</v>
      </c>
      <c r="N278" s="2" t="s">
        <v>1669</v>
      </c>
      <c r="O278" s="2" t="s">
        <v>816</v>
      </c>
      <c r="P278" s="2" t="s">
        <v>2711</v>
      </c>
    </row>
    <row r="279" spans="1:16" ht="13.2" customHeight="1" x14ac:dyDescent="0.25">
      <c r="A279" s="2">
        <v>277</v>
      </c>
      <c r="B279" s="2" t="s">
        <v>21851</v>
      </c>
      <c r="C279" s="2"/>
      <c r="D279" s="2" t="s">
        <v>21166</v>
      </c>
      <c r="E279" s="2" t="s">
        <v>21167</v>
      </c>
      <c r="F279" s="2" t="s">
        <v>21168</v>
      </c>
      <c r="G279" s="2" t="s">
        <v>21171</v>
      </c>
      <c r="H279" s="2" t="s">
        <v>21172</v>
      </c>
      <c r="I279" s="2">
        <v>2</v>
      </c>
      <c r="J279" s="2" t="s">
        <v>21852</v>
      </c>
      <c r="K279" s="2"/>
      <c r="L279" s="2" t="s">
        <v>20522</v>
      </c>
      <c r="M279" s="2" t="s">
        <v>72</v>
      </c>
      <c r="N279" s="2" t="s">
        <v>3887</v>
      </c>
      <c r="O279" s="2" t="s">
        <v>816</v>
      </c>
      <c r="P279" s="2" t="s">
        <v>2711</v>
      </c>
    </row>
    <row r="280" spans="1:16" ht="13.2" customHeight="1" x14ac:dyDescent="0.25">
      <c r="A280" s="2">
        <v>278</v>
      </c>
      <c r="B280" s="2" t="s">
        <v>21853</v>
      </c>
      <c r="C280" s="2"/>
      <c r="D280" s="2" t="s">
        <v>21171</v>
      </c>
      <c r="E280" s="2" t="s">
        <v>21172</v>
      </c>
      <c r="F280" s="2" t="s">
        <v>21173</v>
      </c>
      <c r="G280" s="2" t="s">
        <v>21177</v>
      </c>
      <c r="H280" s="2" t="s">
        <v>21178</v>
      </c>
      <c r="I280" s="2">
        <v>1</v>
      </c>
      <c r="J280" s="2" t="s">
        <v>21792</v>
      </c>
      <c r="K280" s="2"/>
      <c r="L280" s="2" t="s">
        <v>21058</v>
      </c>
      <c r="M280" s="2" t="s">
        <v>72</v>
      </c>
      <c r="N280" s="2" t="s">
        <v>6247</v>
      </c>
      <c r="O280" s="2" t="s">
        <v>816</v>
      </c>
      <c r="P280" s="2" t="s">
        <v>2711</v>
      </c>
    </row>
    <row r="281" spans="1:16" ht="13.2" customHeight="1" x14ac:dyDescent="0.25">
      <c r="A281" s="2">
        <v>279</v>
      </c>
      <c r="B281" s="2" t="s">
        <v>21854</v>
      </c>
      <c r="C281" s="2"/>
      <c r="D281" s="2" t="s">
        <v>21855</v>
      </c>
      <c r="E281" s="2" t="s">
        <v>21856</v>
      </c>
      <c r="F281" s="2" t="s">
        <v>21857</v>
      </c>
      <c r="G281" s="2" t="s">
        <v>21165</v>
      </c>
      <c r="H281" s="2" t="s">
        <v>21166</v>
      </c>
      <c r="I281" s="2">
        <v>5</v>
      </c>
      <c r="J281" s="2" t="s">
        <v>21858</v>
      </c>
      <c r="K281" s="2"/>
      <c r="L281" s="2" t="s">
        <v>20522</v>
      </c>
      <c r="M281" s="2" t="s">
        <v>72</v>
      </c>
      <c r="N281" s="2" t="s">
        <v>1669</v>
      </c>
      <c r="O281" s="2" t="s">
        <v>816</v>
      </c>
      <c r="P281" s="2" t="s">
        <v>2711</v>
      </c>
    </row>
    <row r="282" spans="1:16" ht="13.2" customHeight="1" x14ac:dyDescent="0.25">
      <c r="A282" s="2">
        <v>280</v>
      </c>
      <c r="B282" s="2" t="s">
        <v>21859</v>
      </c>
      <c r="C282" s="2"/>
      <c r="D282" s="2" t="s">
        <v>21165</v>
      </c>
      <c r="E282" s="2" t="s">
        <v>21166</v>
      </c>
      <c r="F282" s="2" t="s">
        <v>21167</v>
      </c>
      <c r="G282" s="2" t="s">
        <v>21168</v>
      </c>
      <c r="H282" s="2" t="s">
        <v>21171</v>
      </c>
      <c r="I282" s="2">
        <v>1</v>
      </c>
      <c r="J282" s="2" t="s">
        <v>21761</v>
      </c>
      <c r="K282" s="2"/>
      <c r="L282" s="2" t="s">
        <v>20522</v>
      </c>
      <c r="M282" s="2" t="s">
        <v>72</v>
      </c>
      <c r="N282" s="2" t="s">
        <v>2655</v>
      </c>
      <c r="O282" s="2" t="s">
        <v>816</v>
      </c>
      <c r="P282" s="2" t="s">
        <v>2711</v>
      </c>
    </row>
    <row r="283" spans="1:16" ht="13.2" customHeight="1" x14ac:dyDescent="0.25">
      <c r="A283" s="2">
        <v>281</v>
      </c>
      <c r="B283" s="2" t="s">
        <v>21860</v>
      </c>
      <c r="C283" s="2"/>
      <c r="D283" s="2" t="s">
        <v>21861</v>
      </c>
      <c r="E283" s="2" t="s">
        <v>21171</v>
      </c>
      <c r="F283" s="2" t="s">
        <v>21172</v>
      </c>
      <c r="G283" s="2" t="s">
        <v>21173</v>
      </c>
      <c r="H283" s="2" t="s">
        <v>21177</v>
      </c>
      <c r="I283" s="2">
        <v>1</v>
      </c>
      <c r="J283" s="2" t="s">
        <v>21862</v>
      </c>
      <c r="K283" s="2"/>
      <c r="L283" s="2" t="s">
        <v>20522</v>
      </c>
      <c r="M283" s="2" t="s">
        <v>72</v>
      </c>
      <c r="N283" s="2" t="s">
        <v>3936</v>
      </c>
      <c r="O283" s="2" t="s">
        <v>816</v>
      </c>
      <c r="P283" s="2" t="s">
        <v>2711</v>
      </c>
    </row>
    <row r="284" spans="1:16" ht="13.2" customHeight="1" x14ac:dyDescent="0.25">
      <c r="A284" s="2">
        <v>282</v>
      </c>
      <c r="B284" s="2" t="s">
        <v>21863</v>
      </c>
      <c r="C284" s="2"/>
      <c r="D284" s="2" t="s">
        <v>21864</v>
      </c>
      <c r="E284" s="2" t="s">
        <v>21865</v>
      </c>
      <c r="F284" s="2" t="s">
        <v>21178</v>
      </c>
      <c r="G284" s="2" t="s">
        <v>21179</v>
      </c>
      <c r="H284" s="2" t="s">
        <v>21165</v>
      </c>
      <c r="I284" s="2">
        <v>1</v>
      </c>
      <c r="J284" s="2" t="s">
        <v>21866</v>
      </c>
      <c r="K284" s="2"/>
      <c r="L284" s="2" t="s">
        <v>20522</v>
      </c>
      <c r="M284" s="2" t="s">
        <v>72</v>
      </c>
      <c r="N284" s="2" t="s">
        <v>2655</v>
      </c>
      <c r="O284" s="2" t="s">
        <v>816</v>
      </c>
      <c r="P284" s="2" t="s">
        <v>2711</v>
      </c>
    </row>
    <row r="285" spans="1:16" ht="13.2" customHeight="1" x14ac:dyDescent="0.25">
      <c r="A285" s="2">
        <v>283</v>
      </c>
      <c r="B285" s="2" t="s">
        <v>21867</v>
      </c>
      <c r="C285" s="2"/>
      <c r="D285" s="2" t="s">
        <v>21179</v>
      </c>
      <c r="E285" s="2" t="s">
        <v>21165</v>
      </c>
      <c r="F285" s="2" t="s">
        <v>21166</v>
      </c>
      <c r="G285" s="2" t="s">
        <v>21167</v>
      </c>
      <c r="H285" s="2" t="s">
        <v>21168</v>
      </c>
      <c r="I285" s="2">
        <v>1</v>
      </c>
      <c r="J285" s="2" t="s">
        <v>21644</v>
      </c>
      <c r="K285" s="2"/>
      <c r="L285" s="2" t="s">
        <v>20522</v>
      </c>
      <c r="M285" s="2" t="s">
        <v>72</v>
      </c>
      <c r="N285" s="2" t="s">
        <v>1669</v>
      </c>
      <c r="O285" s="2" t="s">
        <v>816</v>
      </c>
      <c r="P285" s="2" t="s">
        <v>2711</v>
      </c>
    </row>
    <row r="286" spans="1:16" ht="13.2" customHeight="1" x14ac:dyDescent="0.25">
      <c r="A286" s="2">
        <v>284</v>
      </c>
      <c r="B286" s="2" t="s">
        <v>21868</v>
      </c>
      <c r="C286" s="2"/>
      <c r="D286" s="2" t="s">
        <v>21167</v>
      </c>
      <c r="E286" s="2" t="s">
        <v>21168</v>
      </c>
      <c r="F286" s="2" t="s">
        <v>21171</v>
      </c>
      <c r="G286" s="2" t="s">
        <v>21172</v>
      </c>
      <c r="H286" s="2" t="s">
        <v>21173</v>
      </c>
      <c r="I286" s="2">
        <v>1</v>
      </c>
      <c r="J286" s="2" t="s">
        <v>21869</v>
      </c>
      <c r="K286" s="2"/>
      <c r="L286" s="2" t="s">
        <v>21058</v>
      </c>
      <c r="M286" s="2" t="s">
        <v>72</v>
      </c>
      <c r="N286" s="2" t="s">
        <v>3887</v>
      </c>
      <c r="O286" s="2" t="s">
        <v>816</v>
      </c>
      <c r="P286" s="2" t="s">
        <v>2711</v>
      </c>
    </row>
    <row r="287" spans="1:16" ht="13.2" customHeight="1" x14ac:dyDescent="0.25">
      <c r="A287" s="2">
        <v>285</v>
      </c>
      <c r="B287" s="2" t="s">
        <v>21870</v>
      </c>
      <c r="C287" s="2"/>
      <c r="D287" s="2" t="s">
        <v>21871</v>
      </c>
      <c r="E287" s="2" t="s">
        <v>21872</v>
      </c>
      <c r="F287" s="2" t="s">
        <v>21177</v>
      </c>
      <c r="G287" s="2" t="s">
        <v>21178</v>
      </c>
      <c r="H287" s="2" t="s">
        <v>21179</v>
      </c>
      <c r="I287" s="2">
        <v>2</v>
      </c>
      <c r="J287" s="2" t="s">
        <v>21873</v>
      </c>
      <c r="K287" s="2"/>
      <c r="L287" s="2" t="s">
        <v>20522</v>
      </c>
      <c r="M287" s="2" t="s">
        <v>72</v>
      </c>
      <c r="N287" s="2" t="s">
        <v>1669</v>
      </c>
      <c r="O287" s="2" t="s">
        <v>816</v>
      </c>
      <c r="P287" s="2" t="s">
        <v>2711</v>
      </c>
    </row>
    <row r="288" spans="1:16" ht="13.2" customHeight="1" x14ac:dyDescent="0.25">
      <c r="A288" s="2">
        <v>286</v>
      </c>
      <c r="B288" s="2" t="s">
        <v>21874</v>
      </c>
      <c r="C288" s="2"/>
      <c r="D288" s="2" t="s">
        <v>21178</v>
      </c>
      <c r="E288" s="2" t="s">
        <v>21179</v>
      </c>
      <c r="F288" s="2" t="s">
        <v>21165</v>
      </c>
      <c r="G288" s="2" t="s">
        <v>21166</v>
      </c>
      <c r="H288" s="2" t="s">
        <v>21167</v>
      </c>
      <c r="I288" s="2">
        <v>1</v>
      </c>
      <c r="J288" s="2" t="s">
        <v>21649</v>
      </c>
      <c r="K288" s="2"/>
      <c r="L288" s="2" t="s">
        <v>20522</v>
      </c>
      <c r="M288" s="2" t="s">
        <v>72</v>
      </c>
      <c r="N288" s="2" t="s">
        <v>1669</v>
      </c>
      <c r="O288" s="2" t="s">
        <v>816</v>
      </c>
      <c r="P288" s="2" t="s">
        <v>2711</v>
      </c>
    </row>
    <row r="289" spans="1:16" ht="13.2" customHeight="1" x14ac:dyDescent="0.25">
      <c r="A289" s="2">
        <v>287</v>
      </c>
      <c r="B289" s="2" t="s">
        <v>21875</v>
      </c>
      <c r="C289" s="2"/>
      <c r="D289" s="2" t="s">
        <v>21876</v>
      </c>
      <c r="E289" s="2" t="s">
        <v>21877</v>
      </c>
      <c r="F289" s="2" t="s">
        <v>21878</v>
      </c>
      <c r="G289" s="2" t="s">
        <v>21879</v>
      </c>
      <c r="H289" s="2" t="s">
        <v>21880</v>
      </c>
      <c r="I289" s="2">
        <v>4</v>
      </c>
      <c r="J289" s="2" t="s">
        <v>21881</v>
      </c>
      <c r="K289" s="2"/>
      <c r="L289" s="2" t="s">
        <v>20522</v>
      </c>
      <c r="M289" s="2" t="s">
        <v>72</v>
      </c>
      <c r="N289" s="2" t="s">
        <v>10589</v>
      </c>
      <c r="O289" s="2" t="s">
        <v>816</v>
      </c>
      <c r="P289" s="2" t="s">
        <v>2711</v>
      </c>
    </row>
    <row r="290" spans="1:16" ht="13.2" customHeight="1" x14ac:dyDescent="0.25">
      <c r="A290" s="2">
        <v>288</v>
      </c>
      <c r="B290" s="2" t="s">
        <v>21882</v>
      </c>
      <c r="C290" s="2"/>
      <c r="D290" s="2" t="s">
        <v>21883</v>
      </c>
      <c r="E290" s="2" t="s">
        <v>20757</v>
      </c>
      <c r="F290" s="2" t="s">
        <v>20758</v>
      </c>
      <c r="G290" s="2" t="s">
        <v>21884</v>
      </c>
      <c r="H290" s="2" t="s">
        <v>21885</v>
      </c>
      <c r="I290" s="2">
        <v>3</v>
      </c>
      <c r="J290" s="2" t="s">
        <v>21886</v>
      </c>
      <c r="K290" s="2"/>
      <c r="L290" s="2" t="s">
        <v>20522</v>
      </c>
      <c r="M290" s="2" t="s">
        <v>72</v>
      </c>
      <c r="N290" s="2" t="s">
        <v>5130</v>
      </c>
      <c r="O290" s="2" t="s">
        <v>816</v>
      </c>
      <c r="P290" s="2" t="s">
        <v>2711</v>
      </c>
    </row>
    <row r="291" spans="1:16" ht="13.2" customHeight="1" x14ac:dyDescent="0.25">
      <c r="A291" s="2">
        <v>289</v>
      </c>
      <c r="B291" s="2" t="s">
        <v>21887</v>
      </c>
      <c r="C291" s="2"/>
      <c r="D291" s="2" t="s">
        <v>21296</v>
      </c>
      <c r="E291" s="2" t="s">
        <v>21408</v>
      </c>
      <c r="F291" s="2" t="s">
        <v>21233</v>
      </c>
      <c r="G291" s="2" t="s">
        <v>3021</v>
      </c>
      <c r="H291" s="2" t="s">
        <v>21888</v>
      </c>
      <c r="I291" s="2">
        <v>3</v>
      </c>
      <c r="J291" s="2" t="s">
        <v>21889</v>
      </c>
      <c r="K291" s="2"/>
      <c r="L291" s="2" t="s">
        <v>20522</v>
      </c>
      <c r="M291" s="2" t="s">
        <v>72</v>
      </c>
      <c r="N291" s="2" t="s">
        <v>3983</v>
      </c>
      <c r="O291" s="2" t="s">
        <v>816</v>
      </c>
      <c r="P291" s="2" t="s">
        <v>2711</v>
      </c>
    </row>
    <row r="292" spans="1:16" ht="13.2" customHeight="1" x14ac:dyDescent="0.25">
      <c r="A292" s="2">
        <v>290</v>
      </c>
      <c r="B292" s="2" t="s">
        <v>21890</v>
      </c>
      <c r="C292" s="2"/>
      <c r="D292" s="2" t="s">
        <v>2638</v>
      </c>
      <c r="E292" s="2" t="s">
        <v>3414</v>
      </c>
      <c r="F292" s="2" t="s">
        <v>622</v>
      </c>
      <c r="G292" s="2" t="s">
        <v>3035</v>
      </c>
      <c r="H292" s="2" t="s">
        <v>5475</v>
      </c>
      <c r="I292" s="2">
        <v>1</v>
      </c>
      <c r="J292" s="2" t="s">
        <v>21891</v>
      </c>
      <c r="K292" s="2"/>
      <c r="L292" s="2" t="s">
        <v>20522</v>
      </c>
      <c r="M292" s="2" t="s">
        <v>72</v>
      </c>
      <c r="N292" s="2" t="s">
        <v>6994</v>
      </c>
      <c r="O292" s="2" t="s">
        <v>816</v>
      </c>
      <c r="P292" s="2" t="s">
        <v>2711</v>
      </c>
    </row>
    <row r="293" spans="1:16" ht="13.2" customHeight="1" x14ac:dyDescent="0.25">
      <c r="A293" s="2">
        <v>291</v>
      </c>
      <c r="B293" s="2" t="s">
        <v>21892</v>
      </c>
      <c r="C293" s="2"/>
      <c r="D293" s="2" t="s">
        <v>21893</v>
      </c>
      <c r="E293" s="2" t="s">
        <v>21894</v>
      </c>
      <c r="F293" s="2" t="s">
        <v>21895</v>
      </c>
      <c r="G293" s="2" t="s">
        <v>21896</v>
      </c>
      <c r="H293" s="2" t="s">
        <v>21897</v>
      </c>
      <c r="I293" s="2">
        <v>1</v>
      </c>
      <c r="J293" s="2" t="s">
        <v>21898</v>
      </c>
      <c r="K293" s="2"/>
      <c r="L293" s="2" t="s">
        <v>20522</v>
      </c>
      <c r="M293" s="2" t="s">
        <v>72</v>
      </c>
      <c r="N293" s="2" t="s">
        <v>21899</v>
      </c>
      <c r="O293" s="2" t="s">
        <v>816</v>
      </c>
      <c r="P293" s="2" t="s">
        <v>2711</v>
      </c>
    </row>
    <row r="294" spans="1:16" ht="13.2" customHeight="1" x14ac:dyDescent="0.25">
      <c r="A294" s="2">
        <v>292</v>
      </c>
      <c r="B294" s="2" t="s">
        <v>21900</v>
      </c>
      <c r="C294" s="2"/>
      <c r="D294" s="2" t="s">
        <v>21901</v>
      </c>
      <c r="E294" s="2" t="s">
        <v>21902</v>
      </c>
      <c r="F294" s="2" t="s">
        <v>21903</v>
      </c>
      <c r="G294" s="2" t="s">
        <v>21904</v>
      </c>
      <c r="H294" s="2" t="s">
        <v>21905</v>
      </c>
      <c r="I294" s="2">
        <v>2</v>
      </c>
      <c r="J294" s="2" t="s">
        <v>21906</v>
      </c>
      <c r="K294" s="2"/>
      <c r="L294" s="2" t="s">
        <v>20522</v>
      </c>
      <c r="M294" s="2" t="s">
        <v>72</v>
      </c>
      <c r="N294" s="2" t="s">
        <v>17044</v>
      </c>
      <c r="O294" s="2" t="s">
        <v>816</v>
      </c>
      <c r="P294" s="2" t="s">
        <v>2711</v>
      </c>
    </row>
    <row r="295" spans="1:16" ht="13.2" customHeight="1" x14ac:dyDescent="0.25">
      <c r="A295" s="2">
        <v>293</v>
      </c>
      <c r="B295" s="2" t="s">
        <v>21907</v>
      </c>
      <c r="C295" s="2"/>
      <c r="D295" s="2" t="s">
        <v>21908</v>
      </c>
      <c r="E295" s="2" t="s">
        <v>21909</v>
      </c>
      <c r="F295" s="2" t="s">
        <v>21910</v>
      </c>
      <c r="G295" s="2" t="s">
        <v>21911</v>
      </c>
      <c r="H295" s="2" t="s">
        <v>21912</v>
      </c>
      <c r="I295" s="2">
        <v>2</v>
      </c>
      <c r="J295" s="2" t="s">
        <v>21913</v>
      </c>
      <c r="K295" s="2"/>
      <c r="L295" s="2" t="s">
        <v>20522</v>
      </c>
      <c r="M295" s="2" t="s">
        <v>72</v>
      </c>
      <c r="N295" s="2" t="s">
        <v>21914</v>
      </c>
      <c r="O295" s="2" t="s">
        <v>816</v>
      </c>
      <c r="P295" s="2" t="s">
        <v>2711</v>
      </c>
    </row>
    <row r="296" spans="1:16" ht="13.2" customHeight="1" x14ac:dyDescent="0.25">
      <c r="A296" s="2">
        <v>294</v>
      </c>
      <c r="B296" s="2" t="s">
        <v>21915</v>
      </c>
      <c r="C296" s="2"/>
      <c r="D296" s="2" t="s">
        <v>12337</v>
      </c>
      <c r="E296" s="2" t="s">
        <v>12335</v>
      </c>
      <c r="F296" s="2" t="s">
        <v>12336</v>
      </c>
      <c r="G296" s="2" t="s">
        <v>21916</v>
      </c>
      <c r="H296" s="2" t="s">
        <v>21917</v>
      </c>
      <c r="I296" s="2">
        <v>3</v>
      </c>
      <c r="J296" s="2" t="s">
        <v>21918</v>
      </c>
      <c r="K296" s="2"/>
      <c r="L296" s="2" t="s">
        <v>20522</v>
      </c>
      <c r="M296" s="2" t="s">
        <v>72</v>
      </c>
      <c r="N296" s="2" t="s">
        <v>21919</v>
      </c>
      <c r="O296" s="2" t="s">
        <v>816</v>
      </c>
      <c r="P296" s="2" t="s">
        <v>2711</v>
      </c>
    </row>
    <row r="297" spans="1:16" ht="13.2" customHeight="1" x14ac:dyDescent="0.25">
      <c r="A297" s="2">
        <v>295</v>
      </c>
      <c r="B297" s="2" t="s">
        <v>21920</v>
      </c>
      <c r="C297" s="2"/>
      <c r="D297" s="2" t="s">
        <v>21921</v>
      </c>
      <c r="E297" s="2" t="s">
        <v>21922</v>
      </c>
      <c r="F297" s="2" t="s">
        <v>21923</v>
      </c>
      <c r="G297" s="2" t="s">
        <v>21924</v>
      </c>
      <c r="H297" s="2" t="s">
        <v>21925</v>
      </c>
      <c r="I297" s="2">
        <v>4</v>
      </c>
      <c r="J297" s="2" t="s">
        <v>21926</v>
      </c>
      <c r="K297" s="2"/>
      <c r="L297" s="2" t="s">
        <v>20522</v>
      </c>
      <c r="M297" s="2" t="s">
        <v>72</v>
      </c>
      <c r="N297" s="2" t="s">
        <v>21927</v>
      </c>
      <c r="O297" s="2" t="s">
        <v>816</v>
      </c>
      <c r="P297" s="2" t="s">
        <v>2711</v>
      </c>
    </row>
    <row r="298" spans="1:16" ht="13.2" customHeight="1" x14ac:dyDescent="0.25">
      <c r="A298" s="2">
        <v>296</v>
      </c>
      <c r="B298" s="2" t="s">
        <v>21928</v>
      </c>
      <c r="C298" s="2"/>
      <c r="D298" s="2" t="s">
        <v>21929</v>
      </c>
      <c r="E298" s="2" t="s">
        <v>21930</v>
      </c>
      <c r="F298" s="2" t="s">
        <v>21931</v>
      </c>
      <c r="G298" s="2" t="s">
        <v>21932</v>
      </c>
      <c r="H298" s="2" t="s">
        <v>21933</v>
      </c>
      <c r="I298" s="2">
        <v>5</v>
      </c>
      <c r="J298" s="2" t="s">
        <v>21934</v>
      </c>
      <c r="K298" s="2"/>
      <c r="L298" s="2" t="s">
        <v>20522</v>
      </c>
      <c r="M298" s="2" t="s">
        <v>72</v>
      </c>
      <c r="N298" s="2" t="s">
        <v>21935</v>
      </c>
      <c r="O298" s="2" t="s">
        <v>816</v>
      </c>
      <c r="P298" s="2" t="s">
        <v>2711</v>
      </c>
    </row>
    <row r="299" spans="1:16" ht="13.2" customHeight="1" x14ac:dyDescent="0.25">
      <c r="A299" s="2">
        <v>297</v>
      </c>
      <c r="B299" s="2" t="s">
        <v>21936</v>
      </c>
      <c r="C299" s="2"/>
      <c r="D299" s="2" t="s">
        <v>21937</v>
      </c>
      <c r="E299" s="2" t="s">
        <v>21938</v>
      </c>
      <c r="F299" s="2" t="s">
        <v>21939</v>
      </c>
      <c r="G299" s="2" t="s">
        <v>21940</v>
      </c>
      <c r="H299" s="2" t="s">
        <v>21941</v>
      </c>
      <c r="I299" s="2">
        <v>3</v>
      </c>
      <c r="J299" s="2" t="s">
        <v>21942</v>
      </c>
      <c r="K299" s="2"/>
      <c r="L299" s="2" t="s">
        <v>21058</v>
      </c>
      <c r="M299" s="2" t="s">
        <v>72</v>
      </c>
      <c r="N299" s="2" t="s">
        <v>21919</v>
      </c>
      <c r="O299" s="2" t="s">
        <v>816</v>
      </c>
      <c r="P299" s="2" t="s">
        <v>2711</v>
      </c>
    </row>
    <row r="300" spans="1:16" ht="13.2" customHeight="1" x14ac:dyDescent="0.25">
      <c r="A300" s="2">
        <v>298</v>
      </c>
      <c r="B300" s="2" t="s">
        <v>21943</v>
      </c>
      <c r="C300" s="2"/>
      <c r="D300" s="2" t="s">
        <v>21171</v>
      </c>
      <c r="E300" s="2" t="s">
        <v>21172</v>
      </c>
      <c r="F300" s="2" t="s">
        <v>21173</v>
      </c>
      <c r="G300" s="2" t="s">
        <v>21177</v>
      </c>
      <c r="H300" s="2" t="s">
        <v>21178</v>
      </c>
      <c r="I300" s="2">
        <v>1</v>
      </c>
      <c r="J300" s="2" t="s">
        <v>21598</v>
      </c>
      <c r="K300" s="2"/>
      <c r="L300" s="2" t="s">
        <v>20522</v>
      </c>
      <c r="M300" s="2" t="s">
        <v>72</v>
      </c>
      <c r="N300" s="2" t="s">
        <v>3936</v>
      </c>
      <c r="O300" s="2" t="s">
        <v>816</v>
      </c>
      <c r="P300" s="2" t="s">
        <v>2711</v>
      </c>
    </row>
    <row r="301" spans="1:16" ht="13.2" customHeight="1" x14ac:dyDescent="0.25">
      <c r="A301" s="2">
        <v>299</v>
      </c>
      <c r="B301" s="2" t="s">
        <v>21944</v>
      </c>
      <c r="C301" s="2"/>
      <c r="D301" s="2" t="s">
        <v>21945</v>
      </c>
      <c r="E301" s="2" t="s">
        <v>21946</v>
      </c>
      <c r="F301" s="2" t="s">
        <v>21947</v>
      </c>
      <c r="G301" s="2" t="s">
        <v>21948</v>
      </c>
      <c r="H301" s="2" t="s">
        <v>21166</v>
      </c>
      <c r="I301" s="2">
        <v>2</v>
      </c>
      <c r="J301" s="2" t="s">
        <v>21949</v>
      </c>
      <c r="K301" s="2"/>
      <c r="L301" s="2" t="s">
        <v>20522</v>
      </c>
      <c r="M301" s="2" t="s">
        <v>72</v>
      </c>
      <c r="N301" s="2" t="s">
        <v>2655</v>
      </c>
      <c r="O301" s="2" t="s">
        <v>816</v>
      </c>
      <c r="P301" s="2" t="s">
        <v>2711</v>
      </c>
    </row>
    <row r="302" spans="1:16" ht="13.2" customHeight="1" x14ac:dyDescent="0.25">
      <c r="A302" s="2">
        <v>300</v>
      </c>
      <c r="B302" s="2" t="s">
        <v>21950</v>
      </c>
      <c r="C302" s="2"/>
      <c r="D302" s="2" t="s">
        <v>21951</v>
      </c>
      <c r="E302" s="2" t="s">
        <v>21952</v>
      </c>
      <c r="F302" s="2" t="s">
        <v>21953</v>
      </c>
      <c r="G302" s="2" t="s">
        <v>21954</v>
      </c>
      <c r="H302" s="2" t="s">
        <v>21955</v>
      </c>
      <c r="I302" s="8" t="s">
        <v>113</v>
      </c>
      <c r="J302" s="2" t="s">
        <v>21956</v>
      </c>
      <c r="K302" s="2"/>
      <c r="L302" s="2" t="s">
        <v>21957</v>
      </c>
      <c r="M302" s="2" t="s">
        <v>72</v>
      </c>
      <c r="N302" s="2" t="s">
        <v>7314</v>
      </c>
      <c r="O302" s="2" t="s">
        <v>164</v>
      </c>
      <c r="P302" s="2" t="s">
        <v>1865</v>
      </c>
    </row>
    <row r="303" spans="1:16" ht="409.6" x14ac:dyDescent="0.25">
      <c r="A303" s="35">
        <v>301</v>
      </c>
      <c r="B303" s="34" t="s">
        <v>21958</v>
      </c>
      <c r="C303" s="35"/>
      <c r="D303" s="34" t="s">
        <v>7333</v>
      </c>
      <c r="E303" s="34" t="s">
        <v>7334</v>
      </c>
      <c r="F303" s="34" t="s">
        <v>157</v>
      </c>
      <c r="G303" s="34" t="s">
        <v>6241</v>
      </c>
      <c r="H303" s="34" t="s">
        <v>674</v>
      </c>
      <c r="I303" s="35">
        <v>1</v>
      </c>
      <c r="J303" s="34" t="s">
        <v>21959</v>
      </c>
      <c r="K303" s="35"/>
      <c r="L303" s="34" t="s">
        <v>21957</v>
      </c>
      <c r="M303" s="35" t="s">
        <v>72</v>
      </c>
      <c r="N303" s="34" t="s">
        <v>21960</v>
      </c>
      <c r="O303" s="35" t="s">
        <v>164</v>
      </c>
      <c r="P303" s="35" t="s">
        <v>1865</v>
      </c>
    </row>
    <row r="304" spans="1:16" ht="409.6" x14ac:dyDescent="0.25">
      <c r="A304" s="35">
        <v>302</v>
      </c>
      <c r="B304" s="34" t="s">
        <v>21961</v>
      </c>
      <c r="C304" s="35"/>
      <c r="D304" s="34" t="s">
        <v>21962</v>
      </c>
      <c r="E304" s="34" t="s">
        <v>21963</v>
      </c>
      <c r="F304" s="34" t="s">
        <v>21964</v>
      </c>
      <c r="G304" s="34" t="s">
        <v>21965</v>
      </c>
      <c r="H304" s="34"/>
      <c r="I304" s="35">
        <v>1</v>
      </c>
      <c r="J304" s="34" t="s">
        <v>21966</v>
      </c>
      <c r="K304" s="35"/>
      <c r="L304" s="34" t="s">
        <v>21957</v>
      </c>
      <c r="M304" s="35" t="s">
        <v>72</v>
      </c>
      <c r="N304" s="34" t="s">
        <v>21967</v>
      </c>
      <c r="O304" s="35" t="s">
        <v>164</v>
      </c>
      <c r="P304" s="35" t="s">
        <v>1865</v>
      </c>
    </row>
    <row r="305" spans="1:16" ht="409.6" x14ac:dyDescent="0.25">
      <c r="A305" s="35">
        <v>303</v>
      </c>
      <c r="B305" s="34" t="s">
        <v>21968</v>
      </c>
      <c r="C305" s="35"/>
      <c r="D305" s="34" t="s">
        <v>21969</v>
      </c>
      <c r="E305" s="34" t="s">
        <v>21970</v>
      </c>
      <c r="F305" s="34" t="s">
        <v>21971</v>
      </c>
      <c r="G305" s="34" t="s">
        <v>21972</v>
      </c>
      <c r="H305" s="34" t="s">
        <v>21973</v>
      </c>
      <c r="I305" s="35">
        <v>1</v>
      </c>
      <c r="J305" s="34" t="s">
        <v>21974</v>
      </c>
      <c r="K305" s="35"/>
      <c r="L305" s="34" t="s">
        <v>21957</v>
      </c>
      <c r="M305" s="35" t="s">
        <v>72</v>
      </c>
      <c r="N305" s="34" t="s">
        <v>21975</v>
      </c>
      <c r="O305" s="35" t="s">
        <v>164</v>
      </c>
      <c r="P305" s="35" t="s">
        <v>1865</v>
      </c>
    </row>
    <row r="306" spans="1:16" ht="409.6" x14ac:dyDescent="0.25">
      <c r="A306" s="35">
        <v>304</v>
      </c>
      <c r="B306" s="34" t="s">
        <v>21976</v>
      </c>
      <c r="C306" s="35"/>
      <c r="D306" s="34" t="s">
        <v>21977</v>
      </c>
      <c r="E306" s="34" t="s">
        <v>21978</v>
      </c>
      <c r="F306" s="34" t="s">
        <v>21979</v>
      </c>
      <c r="G306" s="34" t="s">
        <v>21980</v>
      </c>
      <c r="H306" s="34" t="s">
        <v>21981</v>
      </c>
      <c r="I306" s="35">
        <v>1</v>
      </c>
      <c r="J306" s="34" t="s">
        <v>21982</v>
      </c>
      <c r="K306" s="35"/>
      <c r="L306" s="34" t="s">
        <v>21957</v>
      </c>
      <c r="M306" s="35" t="s">
        <v>72</v>
      </c>
      <c r="N306" s="34" t="s">
        <v>21983</v>
      </c>
      <c r="O306" s="35" t="s">
        <v>164</v>
      </c>
      <c r="P306" s="35" t="s">
        <v>2155</v>
      </c>
    </row>
    <row r="307" spans="1:16" ht="13.2" x14ac:dyDescent="0.25">
      <c r="A307">
        <v>305</v>
      </c>
      <c r="B307" t="s">
        <v>21984</v>
      </c>
      <c r="D307" t="s">
        <v>12336</v>
      </c>
      <c r="E307" t="s">
        <v>12337</v>
      </c>
      <c r="F307" t="s">
        <v>12335</v>
      </c>
      <c r="G307" t="s">
        <v>21985</v>
      </c>
      <c r="H307" t="s">
        <v>4067</v>
      </c>
      <c r="I307">
        <v>1</v>
      </c>
      <c r="J307" t="s">
        <v>21986</v>
      </c>
      <c r="L307" t="s">
        <v>21987</v>
      </c>
      <c r="M307" t="s">
        <v>29</v>
      </c>
      <c r="N307" t="s">
        <v>21988</v>
      </c>
    </row>
    <row r="308" spans="1:16" ht="13.2" x14ac:dyDescent="0.25">
      <c r="A308">
        <v>306</v>
      </c>
      <c r="B308" t="s">
        <v>21989</v>
      </c>
      <c r="D308" t="s">
        <v>20735</v>
      </c>
      <c r="E308" t="s">
        <v>20736</v>
      </c>
      <c r="F308" t="s">
        <v>20737</v>
      </c>
      <c r="G308" t="s">
        <v>20738</v>
      </c>
      <c r="H308" t="s">
        <v>21990</v>
      </c>
      <c r="I308" t="s">
        <v>84</v>
      </c>
      <c r="J308" t="s">
        <v>21991</v>
      </c>
      <c r="L308" t="s">
        <v>1645</v>
      </c>
      <c r="M308" t="s">
        <v>29</v>
      </c>
      <c r="N308" t="s">
        <v>2236</v>
      </c>
    </row>
    <row r="309" spans="1:16" ht="13.2" x14ac:dyDescent="0.25">
      <c r="A309">
        <v>307</v>
      </c>
      <c r="B309" t="s">
        <v>21992</v>
      </c>
      <c r="D309" t="s">
        <v>20735</v>
      </c>
      <c r="E309" t="s">
        <v>20736</v>
      </c>
      <c r="F309" t="s">
        <v>20737</v>
      </c>
      <c r="G309" t="s">
        <v>20738</v>
      </c>
      <c r="H309" t="s">
        <v>21993</v>
      </c>
      <c r="I309" t="s">
        <v>84</v>
      </c>
      <c r="J309" t="s">
        <v>21994</v>
      </c>
      <c r="L309" t="s">
        <v>1645</v>
      </c>
      <c r="M309" t="s">
        <v>29</v>
      </c>
      <c r="N309" t="s">
        <v>16744</v>
      </c>
    </row>
    <row r="310" spans="1:16" ht="13.2" x14ac:dyDescent="0.25">
      <c r="A310">
        <v>308</v>
      </c>
      <c r="B310" t="s">
        <v>21995</v>
      </c>
      <c r="D310" t="s">
        <v>20539</v>
      </c>
      <c r="E310" t="s">
        <v>4067</v>
      </c>
      <c r="F310" t="s">
        <v>4068</v>
      </c>
      <c r="G310" t="s">
        <v>21130</v>
      </c>
      <c r="H310" t="s">
        <v>6852</v>
      </c>
      <c r="I310" t="s">
        <v>84</v>
      </c>
      <c r="J310" t="s">
        <v>21996</v>
      </c>
      <c r="L310" t="s">
        <v>1645</v>
      </c>
      <c r="M310" t="s">
        <v>29</v>
      </c>
      <c r="N310" t="s">
        <v>21549</v>
      </c>
    </row>
    <row r="311" spans="1:16" ht="13.2" x14ac:dyDescent="0.25">
      <c r="A311">
        <v>309</v>
      </c>
      <c r="B311" t="s">
        <v>21997</v>
      </c>
      <c r="D311" t="s">
        <v>21998</v>
      </c>
      <c r="E311" t="s">
        <v>2276</v>
      </c>
      <c r="F311" t="s">
        <v>11426</v>
      </c>
      <c r="G311" t="s">
        <v>6987</v>
      </c>
      <c r="H311" t="s">
        <v>2261</v>
      </c>
      <c r="I311" t="s">
        <v>84</v>
      </c>
      <c r="J311" t="s">
        <v>21999</v>
      </c>
      <c r="L311" t="s">
        <v>1645</v>
      </c>
      <c r="M311" t="s">
        <v>29</v>
      </c>
      <c r="N311" t="s">
        <v>22000</v>
      </c>
    </row>
    <row r="312" spans="1:16" ht="13.2" x14ac:dyDescent="0.25">
      <c r="A312">
        <v>310</v>
      </c>
      <c r="B312" t="s">
        <v>22001</v>
      </c>
      <c r="D312" t="s">
        <v>22002</v>
      </c>
      <c r="E312" t="s">
        <v>22003</v>
      </c>
      <c r="F312" t="s">
        <v>22004</v>
      </c>
      <c r="G312" t="s">
        <v>22005</v>
      </c>
      <c r="H312" t="s">
        <v>2022</v>
      </c>
      <c r="I312" t="s">
        <v>84</v>
      </c>
      <c r="J312" t="s">
        <v>22006</v>
      </c>
      <c r="L312" t="s">
        <v>1645</v>
      </c>
      <c r="M312" t="s">
        <v>29</v>
      </c>
      <c r="N312" t="s">
        <v>6195</v>
      </c>
    </row>
    <row r="313" spans="1:16" ht="13.2" x14ac:dyDescent="0.25">
      <c r="A313">
        <v>311</v>
      </c>
      <c r="B313" t="s">
        <v>22007</v>
      </c>
      <c r="D313" t="s">
        <v>12335</v>
      </c>
      <c r="E313" t="s">
        <v>12337</v>
      </c>
      <c r="F313" t="s">
        <v>12336</v>
      </c>
      <c r="G313" t="s">
        <v>22008</v>
      </c>
      <c r="H313" t="s">
        <v>22009</v>
      </c>
      <c r="I313" t="s">
        <v>84</v>
      </c>
      <c r="J313" t="s">
        <v>22010</v>
      </c>
      <c r="L313" t="s">
        <v>1645</v>
      </c>
      <c r="M313" t="s">
        <v>29</v>
      </c>
      <c r="N313" t="s">
        <v>3819</v>
      </c>
    </row>
    <row r="314" spans="1:16" ht="13.2" x14ac:dyDescent="0.25">
      <c r="A314">
        <v>312</v>
      </c>
      <c r="B314" t="s">
        <v>22011</v>
      </c>
      <c r="D314" t="s">
        <v>22012</v>
      </c>
      <c r="E314" t="s">
        <v>22013</v>
      </c>
      <c r="F314" t="s">
        <v>22014</v>
      </c>
      <c r="G314" t="s">
        <v>22015</v>
      </c>
      <c r="H314" t="s">
        <v>22016</v>
      </c>
      <c r="I314" t="s">
        <v>113</v>
      </c>
      <c r="J314" t="s">
        <v>22017</v>
      </c>
      <c r="L314" t="s">
        <v>1645</v>
      </c>
      <c r="M314" t="s">
        <v>29</v>
      </c>
      <c r="N314" t="s">
        <v>3951</v>
      </c>
    </row>
    <row r="315" spans="1:16" ht="13.2" x14ac:dyDescent="0.25">
      <c r="A315">
        <v>313</v>
      </c>
      <c r="B315" t="s">
        <v>22018</v>
      </c>
      <c r="D315" t="s">
        <v>20735</v>
      </c>
      <c r="E315" t="s">
        <v>20736</v>
      </c>
      <c r="F315" t="s">
        <v>20737</v>
      </c>
      <c r="G315" t="s">
        <v>20738</v>
      </c>
      <c r="H315" t="s">
        <v>22019</v>
      </c>
      <c r="I315" t="s">
        <v>113</v>
      </c>
      <c r="J315" t="s">
        <v>22020</v>
      </c>
      <c r="L315" t="s">
        <v>1645</v>
      </c>
      <c r="M315" t="s">
        <v>29</v>
      </c>
      <c r="N315" t="s">
        <v>22021</v>
      </c>
    </row>
  </sheetData>
  <mergeCells count="1">
    <mergeCell ref="A1:F1"/>
  </mergeCell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P9"/>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24" t="s">
        <v>10</v>
      </c>
      <c r="B2" s="24" t="s">
        <v>11</v>
      </c>
      <c r="C2" s="24" t="s">
        <v>12</v>
      </c>
      <c r="D2" s="24" t="s">
        <v>13</v>
      </c>
      <c r="E2" s="24" t="s">
        <v>14</v>
      </c>
      <c r="F2" s="24" t="s">
        <v>15</v>
      </c>
      <c r="G2" s="24" t="s">
        <v>16</v>
      </c>
      <c r="H2" s="24" t="s">
        <v>17</v>
      </c>
      <c r="I2" s="24" t="s">
        <v>154</v>
      </c>
      <c r="J2" s="24" t="s">
        <v>19</v>
      </c>
      <c r="K2" s="24" t="s">
        <v>20</v>
      </c>
      <c r="L2" s="24" t="s">
        <v>81</v>
      </c>
      <c r="M2" s="24" t="s">
        <v>155</v>
      </c>
      <c r="N2" s="24" t="s">
        <v>23</v>
      </c>
      <c r="O2" s="2" t="s">
        <v>24</v>
      </c>
      <c r="P2" s="2" t="s">
        <v>25</v>
      </c>
    </row>
    <row r="3" spans="1:16" ht="13.2" customHeight="1" x14ac:dyDescent="0.25">
      <c r="A3" s="8" t="s">
        <v>10102</v>
      </c>
      <c r="B3" s="2" t="s">
        <v>22022</v>
      </c>
      <c r="C3" s="2"/>
      <c r="D3" s="2" t="s">
        <v>22023</v>
      </c>
      <c r="E3" s="2" t="s">
        <v>22024</v>
      </c>
      <c r="F3" s="2" t="s">
        <v>22025</v>
      </c>
      <c r="G3" s="2" t="s">
        <v>22026</v>
      </c>
      <c r="H3" s="2" t="s">
        <v>22027</v>
      </c>
      <c r="I3" s="8" t="s">
        <v>113</v>
      </c>
      <c r="J3" s="2" t="s">
        <v>22028</v>
      </c>
      <c r="K3" s="2"/>
      <c r="L3" s="2" t="s">
        <v>22029</v>
      </c>
      <c r="M3" s="2" t="s">
        <v>72</v>
      </c>
      <c r="N3" s="2" t="s">
        <v>8283</v>
      </c>
      <c r="O3" s="2" t="s">
        <v>816</v>
      </c>
      <c r="P3" s="2" t="s">
        <v>669</v>
      </c>
    </row>
    <row r="4" spans="1:16" ht="13.2" customHeight="1" x14ac:dyDescent="0.25">
      <c r="A4" s="8" t="s">
        <v>10257</v>
      </c>
      <c r="B4" s="2" t="s">
        <v>22030</v>
      </c>
      <c r="C4" s="2"/>
      <c r="D4" s="2" t="s">
        <v>22031</v>
      </c>
      <c r="E4" s="2" t="s">
        <v>22032</v>
      </c>
      <c r="F4" s="2" t="s">
        <v>22033</v>
      </c>
      <c r="G4" s="2" t="s">
        <v>22034</v>
      </c>
      <c r="H4" s="2" t="s">
        <v>781</v>
      </c>
      <c r="I4" s="8" t="s">
        <v>84</v>
      </c>
      <c r="J4" s="2" t="s">
        <v>22035</v>
      </c>
      <c r="K4" s="2"/>
      <c r="L4" s="2" t="s">
        <v>22029</v>
      </c>
      <c r="M4" s="2" t="s">
        <v>72</v>
      </c>
      <c r="N4" s="2" t="s">
        <v>2947</v>
      </c>
      <c r="O4" s="2" t="s">
        <v>816</v>
      </c>
      <c r="P4" s="2" t="s">
        <v>669</v>
      </c>
    </row>
    <row r="5" spans="1:16" ht="13.2" customHeight="1" x14ac:dyDescent="0.25">
      <c r="A5" s="2">
        <v>32</v>
      </c>
      <c r="B5" s="2" t="s">
        <v>22036</v>
      </c>
      <c r="C5" s="2"/>
      <c r="D5" s="2" t="s">
        <v>22037</v>
      </c>
      <c r="E5" s="2" t="s">
        <v>22038</v>
      </c>
      <c r="F5" s="2" t="s">
        <v>22039</v>
      </c>
      <c r="G5" s="2" t="s">
        <v>22040</v>
      </c>
      <c r="H5" s="2" t="s">
        <v>22041</v>
      </c>
      <c r="I5" s="8" t="s">
        <v>113</v>
      </c>
      <c r="J5" s="2" t="s">
        <v>22042</v>
      </c>
      <c r="K5" s="2"/>
      <c r="L5" s="2" t="s">
        <v>22043</v>
      </c>
      <c r="M5" s="2" t="s">
        <v>72</v>
      </c>
      <c r="N5" s="2" t="s">
        <v>22044</v>
      </c>
      <c r="O5" s="2" t="s">
        <v>816</v>
      </c>
      <c r="P5" s="2" t="s">
        <v>1849</v>
      </c>
    </row>
    <row r="6" spans="1:16" ht="13.2" x14ac:dyDescent="0.25">
      <c r="A6">
        <v>33</v>
      </c>
      <c r="B6" t="s">
        <v>22045</v>
      </c>
      <c r="D6" t="s">
        <v>22046</v>
      </c>
      <c r="E6" t="s">
        <v>22047</v>
      </c>
      <c r="F6" t="s">
        <v>22048</v>
      </c>
      <c r="G6" t="s">
        <v>22049</v>
      </c>
      <c r="H6" t="s">
        <v>22050</v>
      </c>
      <c r="I6" t="s">
        <v>84</v>
      </c>
      <c r="J6" t="s">
        <v>22051</v>
      </c>
      <c r="L6" t="s">
        <v>1645</v>
      </c>
      <c r="M6" t="s">
        <v>29</v>
      </c>
      <c r="N6" t="s">
        <v>22052</v>
      </c>
    </row>
    <row r="7" spans="1:16" ht="13.2" x14ac:dyDescent="0.25">
      <c r="A7">
        <v>34</v>
      </c>
      <c r="B7" t="s">
        <v>22053</v>
      </c>
      <c r="D7" t="s">
        <v>22054</v>
      </c>
      <c r="E7" t="s">
        <v>22055</v>
      </c>
      <c r="F7" t="s">
        <v>22056</v>
      </c>
      <c r="G7" t="s">
        <v>22057</v>
      </c>
      <c r="H7" t="s">
        <v>22058</v>
      </c>
      <c r="I7" t="s">
        <v>84</v>
      </c>
      <c r="J7" t="s">
        <v>22059</v>
      </c>
      <c r="L7" t="s">
        <v>1645</v>
      </c>
      <c r="M7" t="s">
        <v>29</v>
      </c>
      <c r="N7" t="s">
        <v>22060</v>
      </c>
    </row>
    <row r="8" spans="1:16" ht="13.2" x14ac:dyDescent="0.25">
      <c r="A8">
        <v>35</v>
      </c>
      <c r="B8" t="s">
        <v>22061</v>
      </c>
      <c r="D8" t="s">
        <v>22062</v>
      </c>
      <c r="E8" t="s">
        <v>22063</v>
      </c>
      <c r="F8" t="s">
        <v>22064</v>
      </c>
      <c r="G8" t="s">
        <v>22065</v>
      </c>
      <c r="H8" t="s">
        <v>22066</v>
      </c>
      <c r="I8" t="s">
        <v>84</v>
      </c>
      <c r="J8" t="s">
        <v>22067</v>
      </c>
      <c r="L8" t="s">
        <v>1645</v>
      </c>
      <c r="M8" t="s">
        <v>29</v>
      </c>
      <c r="N8" t="s">
        <v>22068</v>
      </c>
    </row>
    <row r="9" spans="1:16" ht="13.2" x14ac:dyDescent="0.25">
      <c r="A9">
        <v>36</v>
      </c>
      <c r="B9" t="s">
        <v>22069</v>
      </c>
      <c r="D9" t="s">
        <v>22070</v>
      </c>
      <c r="E9" t="s">
        <v>22071</v>
      </c>
      <c r="F9" t="s">
        <v>22072</v>
      </c>
      <c r="G9" t="s">
        <v>22073</v>
      </c>
      <c r="H9" t="s">
        <v>2481</v>
      </c>
      <c r="I9" t="s">
        <v>84</v>
      </c>
      <c r="J9" t="s">
        <v>22074</v>
      </c>
      <c r="L9" t="s">
        <v>1645</v>
      </c>
      <c r="M9" t="s">
        <v>29</v>
      </c>
      <c r="N9" t="s">
        <v>9897</v>
      </c>
    </row>
  </sheetData>
  <mergeCells count="1">
    <mergeCell ref="A1:F1"/>
  </mergeCell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8C3FBF"/>
    <outlinePr summaryBelow="0" summaryRight="0"/>
  </sheetPr>
  <dimension ref="A1:Q78"/>
  <sheetViews>
    <sheetView workbookViewId="0"/>
  </sheetViews>
  <sheetFormatPr defaultColWidth="12.6640625" defaultRowHeight="15.75" customHeight="1" x14ac:dyDescent="0.25"/>
  <sheetData>
    <row r="1" spans="1:17" ht="34.950000000000003" customHeight="1" x14ac:dyDescent="0.25">
      <c r="A1" s="51" t="str">
        <f>HYPERLINK("#gid=0", "🏠 กลับสู่หน้าแรก (Go to Home Page)")</f>
        <v>🏠 กลับสู่หน้าแรก (Go to Home Page)</v>
      </c>
      <c r="B1" s="49"/>
      <c r="C1" s="49"/>
      <c r="D1" s="49"/>
      <c r="E1" s="49"/>
      <c r="F1" s="49"/>
    </row>
    <row r="2" spans="1:17" ht="21.6" customHeight="1" x14ac:dyDescent="0.25">
      <c r="A2" s="25" t="s">
        <v>10</v>
      </c>
      <c r="B2" s="25" t="s">
        <v>11</v>
      </c>
      <c r="C2" s="25" t="s">
        <v>12</v>
      </c>
      <c r="D2" s="25" t="s">
        <v>13</v>
      </c>
      <c r="E2" s="25" t="s">
        <v>14</v>
      </c>
      <c r="F2" s="25" t="s">
        <v>15</v>
      </c>
      <c r="G2" s="25" t="s">
        <v>16</v>
      </c>
      <c r="H2" s="25" t="s">
        <v>17</v>
      </c>
      <c r="I2" s="25" t="s">
        <v>154</v>
      </c>
      <c r="J2" s="25" t="s">
        <v>19</v>
      </c>
      <c r="K2" s="25" t="s">
        <v>20</v>
      </c>
      <c r="L2" s="25" t="s">
        <v>81</v>
      </c>
      <c r="M2" s="25" t="s">
        <v>155</v>
      </c>
      <c r="N2" s="25" t="s">
        <v>23</v>
      </c>
      <c r="O2" s="25" t="s">
        <v>24</v>
      </c>
      <c r="P2" s="25" t="s">
        <v>25</v>
      </c>
    </row>
    <row r="3" spans="1:17" ht="13.2" customHeight="1" x14ac:dyDescent="0.25">
      <c r="A3" s="8" t="s">
        <v>10250</v>
      </c>
      <c r="B3" s="2" t="s">
        <v>22075</v>
      </c>
      <c r="C3" s="2"/>
      <c r="D3" s="2" t="s">
        <v>1773</v>
      </c>
      <c r="E3" s="2" t="s">
        <v>1774</v>
      </c>
      <c r="F3" s="2" t="s">
        <v>1775</v>
      </c>
      <c r="G3" s="2" t="s">
        <v>1776</v>
      </c>
      <c r="H3" s="2" t="s">
        <v>1777</v>
      </c>
      <c r="I3" s="8" t="s">
        <v>113</v>
      </c>
      <c r="J3" s="2" t="s">
        <v>22076</v>
      </c>
      <c r="K3" s="2"/>
      <c r="L3" s="2" t="s">
        <v>22077</v>
      </c>
      <c r="M3" s="2" t="s">
        <v>72</v>
      </c>
      <c r="N3" s="2" t="s">
        <v>8548</v>
      </c>
      <c r="O3" s="2" t="s">
        <v>816</v>
      </c>
      <c r="P3" s="2" t="s">
        <v>669</v>
      </c>
    </row>
    <row r="4" spans="1:17" ht="13.2" customHeight="1" x14ac:dyDescent="0.25">
      <c r="A4" s="8" t="s">
        <v>10405</v>
      </c>
      <c r="B4" s="2" t="s">
        <v>22078</v>
      </c>
      <c r="C4" s="2"/>
      <c r="D4" s="2" t="s">
        <v>22079</v>
      </c>
      <c r="E4" s="2" t="s">
        <v>22080</v>
      </c>
      <c r="F4" s="2" t="s">
        <v>22081</v>
      </c>
      <c r="G4" s="2" t="s">
        <v>22082</v>
      </c>
      <c r="H4" s="2" t="s">
        <v>781</v>
      </c>
      <c r="I4" s="8" t="s">
        <v>84</v>
      </c>
      <c r="J4" s="2" t="s">
        <v>22083</v>
      </c>
      <c r="K4" s="2"/>
      <c r="L4" s="2" t="s">
        <v>22077</v>
      </c>
      <c r="M4" s="2" t="s">
        <v>72</v>
      </c>
      <c r="N4" s="2" t="s">
        <v>5577</v>
      </c>
      <c r="O4" s="2" t="s">
        <v>816</v>
      </c>
      <c r="P4" s="2" t="s">
        <v>669</v>
      </c>
    </row>
    <row r="5" spans="1:17" ht="13.2" customHeight="1" x14ac:dyDescent="0.25">
      <c r="A5" s="8" t="s">
        <v>10427</v>
      </c>
      <c r="B5" s="2" t="s">
        <v>22084</v>
      </c>
      <c r="C5" s="2"/>
      <c r="D5" s="2" t="s">
        <v>22085</v>
      </c>
      <c r="E5" s="2" t="s">
        <v>22086</v>
      </c>
      <c r="F5" s="2" t="s">
        <v>20975</v>
      </c>
      <c r="G5" s="2" t="s">
        <v>22087</v>
      </c>
      <c r="H5" s="2" t="s">
        <v>21884</v>
      </c>
      <c r="I5" s="8" t="s">
        <v>84</v>
      </c>
      <c r="J5" s="2" t="s">
        <v>22088</v>
      </c>
      <c r="K5" s="2"/>
      <c r="L5" s="2" t="s">
        <v>22077</v>
      </c>
      <c r="M5" s="2" t="s">
        <v>72</v>
      </c>
      <c r="N5" s="2" t="s">
        <v>1007</v>
      </c>
      <c r="O5" s="2" t="s">
        <v>816</v>
      </c>
      <c r="P5" s="2" t="s">
        <v>669</v>
      </c>
    </row>
    <row r="6" spans="1:17" ht="13.2" customHeight="1" x14ac:dyDescent="0.25">
      <c r="A6" s="8" t="s">
        <v>10431</v>
      </c>
      <c r="B6" s="2" t="s">
        <v>22089</v>
      </c>
      <c r="C6" s="2"/>
      <c r="D6" s="2" t="s">
        <v>22090</v>
      </c>
      <c r="E6" s="2" t="s">
        <v>22091</v>
      </c>
      <c r="F6" s="2" t="s">
        <v>22092</v>
      </c>
      <c r="G6" s="2" t="s">
        <v>22093</v>
      </c>
      <c r="H6" s="2" t="s">
        <v>22094</v>
      </c>
      <c r="I6" s="8" t="s">
        <v>113</v>
      </c>
      <c r="J6" s="2" t="s">
        <v>22095</v>
      </c>
      <c r="K6" s="2"/>
      <c r="L6" s="2" t="s">
        <v>22077</v>
      </c>
      <c r="M6" s="2" t="s">
        <v>72</v>
      </c>
      <c r="N6" s="2" t="s">
        <v>22096</v>
      </c>
      <c r="O6" s="2" t="s">
        <v>816</v>
      </c>
      <c r="P6" s="2" t="s">
        <v>669</v>
      </c>
    </row>
    <row r="7" spans="1:17" ht="13.2" customHeight="1" x14ac:dyDescent="0.25">
      <c r="A7" s="8" t="s">
        <v>10445</v>
      </c>
      <c r="B7" s="2" t="s">
        <v>22097</v>
      </c>
      <c r="C7" s="2"/>
      <c r="D7" s="2" t="s">
        <v>21731</v>
      </c>
      <c r="E7" s="2" t="s">
        <v>20758</v>
      </c>
      <c r="F7" s="2" t="s">
        <v>22098</v>
      </c>
      <c r="G7" s="2" t="s">
        <v>22099</v>
      </c>
      <c r="H7" s="2" t="s">
        <v>22100</v>
      </c>
      <c r="I7" s="8" t="s">
        <v>123</v>
      </c>
      <c r="J7" s="2" t="s">
        <v>22101</v>
      </c>
      <c r="K7" s="2"/>
      <c r="L7" s="2" t="s">
        <v>22077</v>
      </c>
      <c r="M7" s="2" t="s">
        <v>72</v>
      </c>
      <c r="N7" s="2" t="s">
        <v>9683</v>
      </c>
      <c r="O7" s="2" t="s">
        <v>816</v>
      </c>
      <c r="P7" s="2" t="s">
        <v>669</v>
      </c>
    </row>
    <row r="8" spans="1:17" ht="13.2" customHeight="1" x14ac:dyDescent="0.25">
      <c r="A8" s="8" t="s">
        <v>10618</v>
      </c>
      <c r="B8" s="2" t="s">
        <v>22102</v>
      </c>
      <c r="C8" s="2"/>
      <c r="D8" s="2" t="s">
        <v>21746</v>
      </c>
      <c r="E8" s="2" t="s">
        <v>22103</v>
      </c>
      <c r="F8" s="2" t="s">
        <v>22104</v>
      </c>
      <c r="G8" s="2" t="s">
        <v>22105</v>
      </c>
      <c r="H8" s="2" t="s">
        <v>21743</v>
      </c>
      <c r="I8" s="8" t="s">
        <v>113</v>
      </c>
      <c r="J8" s="2" t="s">
        <v>22106</v>
      </c>
      <c r="K8" s="2"/>
      <c r="L8" s="2" t="s">
        <v>22077</v>
      </c>
      <c r="M8" s="2" t="s">
        <v>72</v>
      </c>
      <c r="N8" s="2" t="s">
        <v>22107</v>
      </c>
      <c r="O8" s="2" t="s">
        <v>816</v>
      </c>
      <c r="P8" s="2" t="s">
        <v>669</v>
      </c>
    </row>
    <row r="9" spans="1:17" ht="13.2" customHeight="1" x14ac:dyDescent="0.25">
      <c r="A9" s="8" t="s">
        <v>10622</v>
      </c>
      <c r="B9" s="2" t="s">
        <v>22108</v>
      </c>
      <c r="C9" s="2"/>
      <c r="D9" s="2" t="s">
        <v>22109</v>
      </c>
      <c r="E9" s="2" t="s">
        <v>22110</v>
      </c>
      <c r="F9" s="2" t="s">
        <v>22111</v>
      </c>
      <c r="G9" s="2" t="s">
        <v>22112</v>
      </c>
      <c r="H9" s="2" t="s">
        <v>22113</v>
      </c>
      <c r="I9" s="8" t="s">
        <v>84</v>
      </c>
      <c r="J9" s="2" t="s">
        <v>22114</v>
      </c>
      <c r="K9" s="2"/>
      <c r="L9" s="2" t="s">
        <v>22077</v>
      </c>
      <c r="M9" s="2" t="s">
        <v>72</v>
      </c>
      <c r="N9" s="2" t="s">
        <v>22115</v>
      </c>
      <c r="O9" s="2" t="s">
        <v>816</v>
      </c>
      <c r="P9" s="2" t="s">
        <v>669</v>
      </c>
    </row>
    <row r="10" spans="1:17" ht="13.2" customHeight="1" x14ac:dyDescent="0.25">
      <c r="A10" s="8" t="s">
        <v>10631</v>
      </c>
      <c r="B10" s="2" t="s">
        <v>22116</v>
      </c>
      <c r="C10" s="2"/>
      <c r="D10" s="8" t="s">
        <v>22117</v>
      </c>
      <c r="E10" s="8" t="s">
        <v>12762</v>
      </c>
      <c r="F10" s="8" t="s">
        <v>22118</v>
      </c>
      <c r="G10" s="2" t="s">
        <v>22119</v>
      </c>
      <c r="H10" s="2" t="s">
        <v>22120</v>
      </c>
      <c r="I10" s="8" t="s">
        <v>96</v>
      </c>
      <c r="J10" s="2" t="s">
        <v>22121</v>
      </c>
      <c r="K10" s="2"/>
      <c r="L10" s="2" t="s">
        <v>22122</v>
      </c>
      <c r="M10" s="2" t="s">
        <v>72</v>
      </c>
      <c r="N10" s="2" t="s">
        <v>22123</v>
      </c>
      <c r="O10" s="2" t="s">
        <v>816</v>
      </c>
      <c r="P10" s="2" t="s">
        <v>669</v>
      </c>
    </row>
    <row r="11" spans="1:17" ht="13.2" customHeight="1" x14ac:dyDescent="0.25">
      <c r="A11" s="8" t="s">
        <v>10639</v>
      </c>
      <c r="B11" s="2" t="s">
        <v>22124</v>
      </c>
      <c r="C11" s="2"/>
      <c r="D11" s="2" t="s">
        <v>22125</v>
      </c>
      <c r="E11" s="2" t="s">
        <v>22125</v>
      </c>
      <c r="F11" s="2" t="s">
        <v>22126</v>
      </c>
      <c r="G11" s="2" t="s">
        <v>22127</v>
      </c>
      <c r="H11" s="2" t="s">
        <v>22128</v>
      </c>
      <c r="I11" s="8" t="s">
        <v>84</v>
      </c>
      <c r="J11" s="2" t="s">
        <v>22129</v>
      </c>
      <c r="K11" s="2"/>
      <c r="L11" s="2" t="s">
        <v>22077</v>
      </c>
      <c r="M11" s="2" t="s">
        <v>72</v>
      </c>
      <c r="N11" s="2" t="s">
        <v>22130</v>
      </c>
      <c r="O11" s="2" t="s">
        <v>816</v>
      </c>
      <c r="P11" s="2" t="s">
        <v>669</v>
      </c>
    </row>
    <row r="12" spans="1:17" ht="13.2" customHeight="1" x14ac:dyDescent="0.25">
      <c r="A12" s="8" t="s">
        <v>12115</v>
      </c>
      <c r="B12" s="2" t="s">
        <v>22131</v>
      </c>
      <c r="C12" s="2"/>
      <c r="D12" s="2" t="s">
        <v>22132</v>
      </c>
      <c r="E12" s="2" t="s">
        <v>22133</v>
      </c>
      <c r="F12" s="2" t="s">
        <v>22134</v>
      </c>
      <c r="G12" s="2" t="s">
        <v>22135</v>
      </c>
      <c r="H12" s="8" t="s">
        <v>10111</v>
      </c>
      <c r="I12" s="8" t="s">
        <v>84</v>
      </c>
      <c r="J12" s="2" t="s">
        <v>22136</v>
      </c>
      <c r="K12" s="2"/>
      <c r="L12" s="2" t="s">
        <v>22122</v>
      </c>
      <c r="M12" s="2" t="s">
        <v>72</v>
      </c>
      <c r="N12" s="2" t="s">
        <v>22137</v>
      </c>
      <c r="O12" s="2" t="s">
        <v>816</v>
      </c>
      <c r="P12" s="2" t="s">
        <v>669</v>
      </c>
    </row>
    <row r="13" spans="1:17" ht="13.2" customHeight="1" x14ac:dyDescent="0.25">
      <c r="A13" s="8" t="s">
        <v>12117</v>
      </c>
      <c r="B13" s="2" t="s">
        <v>22138</v>
      </c>
      <c r="C13" s="2"/>
      <c r="D13" s="2" t="s">
        <v>22139</v>
      </c>
      <c r="E13" s="2" t="s">
        <v>22140</v>
      </c>
      <c r="F13" s="2" t="s">
        <v>22141</v>
      </c>
      <c r="G13" s="2" t="s">
        <v>22142</v>
      </c>
      <c r="H13" s="2" t="s">
        <v>781</v>
      </c>
      <c r="I13" s="8" t="s">
        <v>113</v>
      </c>
      <c r="J13" s="2" t="s">
        <v>22143</v>
      </c>
      <c r="K13" s="2"/>
      <c r="L13" s="2" t="s">
        <v>22077</v>
      </c>
      <c r="M13" s="2" t="s">
        <v>72</v>
      </c>
      <c r="N13" s="2" t="s">
        <v>22144</v>
      </c>
      <c r="O13" s="2" t="s">
        <v>816</v>
      </c>
      <c r="P13" s="2" t="s">
        <v>669</v>
      </c>
    </row>
    <row r="14" spans="1:17" ht="13.2" customHeight="1" x14ac:dyDescent="0.25">
      <c r="A14" s="8" t="s">
        <v>10130</v>
      </c>
      <c r="B14" s="2" t="s">
        <v>22145</v>
      </c>
      <c r="C14" s="2"/>
      <c r="D14" s="2" t="s">
        <v>22146</v>
      </c>
      <c r="E14" s="2" t="s">
        <v>20975</v>
      </c>
      <c r="F14" s="2" t="s">
        <v>22086</v>
      </c>
      <c r="G14" s="2" t="s">
        <v>22147</v>
      </c>
      <c r="H14" s="2" t="s">
        <v>22147</v>
      </c>
      <c r="I14" s="8" t="s">
        <v>84</v>
      </c>
      <c r="J14" s="2" t="s">
        <v>22148</v>
      </c>
      <c r="K14" s="2"/>
      <c r="L14" s="2" t="s">
        <v>22077</v>
      </c>
      <c r="M14" s="2" t="s">
        <v>22149</v>
      </c>
      <c r="N14" s="2" t="s">
        <v>22150</v>
      </c>
      <c r="O14" s="2" t="s">
        <v>816</v>
      </c>
      <c r="P14" s="2" t="s">
        <v>1849</v>
      </c>
      <c r="Q14" s="2"/>
    </row>
    <row r="15" spans="1:17" ht="13.2" customHeight="1" x14ac:dyDescent="0.25">
      <c r="A15" s="8" t="s">
        <v>10137</v>
      </c>
      <c r="B15" s="2" t="s">
        <v>22151</v>
      </c>
      <c r="C15" s="2"/>
      <c r="D15" s="2" t="s">
        <v>22152</v>
      </c>
      <c r="E15" s="2" t="s">
        <v>22153</v>
      </c>
      <c r="F15" s="2" t="s">
        <v>22154</v>
      </c>
      <c r="G15" s="2" t="s">
        <v>22155</v>
      </c>
      <c r="H15" s="2" t="s">
        <v>22156</v>
      </c>
      <c r="I15" s="8" t="s">
        <v>84</v>
      </c>
      <c r="J15" s="2" t="s">
        <v>22157</v>
      </c>
      <c r="K15" s="2"/>
      <c r="L15" s="2" t="s">
        <v>22077</v>
      </c>
      <c r="M15" s="2" t="s">
        <v>22149</v>
      </c>
      <c r="N15" s="2" t="s">
        <v>22158</v>
      </c>
      <c r="O15" s="2" t="s">
        <v>816</v>
      </c>
      <c r="P15" s="2" t="s">
        <v>1849</v>
      </c>
      <c r="Q15" s="2"/>
    </row>
    <row r="16" spans="1:17" ht="13.2" customHeight="1" x14ac:dyDescent="0.25">
      <c r="A16" s="8" t="s">
        <v>10142</v>
      </c>
      <c r="B16" s="2" t="s">
        <v>22159</v>
      </c>
      <c r="C16" s="2"/>
      <c r="D16" s="8" t="s">
        <v>15118</v>
      </c>
      <c r="E16" s="8" t="s">
        <v>15119</v>
      </c>
      <c r="F16" s="8" t="s">
        <v>15120</v>
      </c>
      <c r="G16" s="8" t="s">
        <v>15121</v>
      </c>
      <c r="H16" s="2" t="s">
        <v>22160</v>
      </c>
      <c r="I16" s="8" t="s">
        <v>84</v>
      </c>
      <c r="J16" s="2" t="s">
        <v>22161</v>
      </c>
      <c r="K16" s="2"/>
      <c r="L16" s="2" t="s">
        <v>22122</v>
      </c>
      <c r="M16" s="2" t="s">
        <v>22149</v>
      </c>
      <c r="N16" s="2" t="s">
        <v>22162</v>
      </c>
      <c r="O16" s="2" t="s">
        <v>164</v>
      </c>
      <c r="P16" s="2" t="s">
        <v>1865</v>
      </c>
      <c r="Q16" s="2"/>
    </row>
    <row r="17" spans="1:17" ht="13.2" customHeight="1" x14ac:dyDescent="0.25">
      <c r="A17" s="8" t="s">
        <v>10146</v>
      </c>
      <c r="B17" s="2" t="s">
        <v>22163</v>
      </c>
      <c r="C17" s="2"/>
      <c r="D17" s="2" t="s">
        <v>161</v>
      </c>
      <c r="E17" s="2" t="s">
        <v>6730</v>
      </c>
      <c r="F17" s="2" t="s">
        <v>6730</v>
      </c>
      <c r="G17" s="2" t="s">
        <v>6730</v>
      </c>
      <c r="H17" s="2" t="s">
        <v>6730</v>
      </c>
      <c r="I17" s="8" t="s">
        <v>84</v>
      </c>
      <c r="J17" s="2" t="s">
        <v>22164</v>
      </c>
      <c r="K17" s="2"/>
      <c r="L17" s="2" t="s">
        <v>22077</v>
      </c>
      <c r="M17" s="2" t="s">
        <v>22149</v>
      </c>
      <c r="N17" s="2" t="s">
        <v>22165</v>
      </c>
      <c r="O17" s="2" t="s">
        <v>164</v>
      </c>
      <c r="P17" s="2" t="s">
        <v>1865</v>
      </c>
      <c r="Q17" s="2"/>
    </row>
    <row r="18" spans="1:17" ht="13.2" customHeight="1" x14ac:dyDescent="0.25">
      <c r="A18" s="8" t="s">
        <v>10154</v>
      </c>
      <c r="B18" s="2" t="s">
        <v>22166</v>
      </c>
      <c r="C18" s="2"/>
      <c r="D18" s="2" t="s">
        <v>22149</v>
      </c>
      <c r="E18" s="2" t="s">
        <v>22167</v>
      </c>
      <c r="F18" s="2" t="s">
        <v>22132</v>
      </c>
      <c r="G18" s="2" t="s">
        <v>22133</v>
      </c>
      <c r="H18" s="2" t="s">
        <v>22134</v>
      </c>
      <c r="I18" s="8" t="s">
        <v>84</v>
      </c>
      <c r="J18" s="2" t="s">
        <v>22168</v>
      </c>
      <c r="K18" s="2"/>
      <c r="L18" s="2" t="s">
        <v>22077</v>
      </c>
      <c r="M18" s="2" t="s">
        <v>22149</v>
      </c>
      <c r="N18" s="2" t="s">
        <v>22169</v>
      </c>
      <c r="O18" s="2" t="s">
        <v>164</v>
      </c>
      <c r="P18" s="2" t="s">
        <v>1865</v>
      </c>
    </row>
    <row r="19" spans="1:17" ht="13.2" customHeight="1" x14ac:dyDescent="0.25">
      <c r="A19" s="8" t="s">
        <v>10162</v>
      </c>
      <c r="B19" s="2" t="s">
        <v>22170</v>
      </c>
      <c r="C19" s="2"/>
      <c r="D19" s="2" t="s">
        <v>22149</v>
      </c>
      <c r="E19" s="2" t="s">
        <v>22134</v>
      </c>
      <c r="F19" s="2" t="s">
        <v>22135</v>
      </c>
      <c r="G19" s="2" t="s">
        <v>22171</v>
      </c>
      <c r="H19" s="2" t="s">
        <v>22172</v>
      </c>
      <c r="I19" s="8" t="s">
        <v>84</v>
      </c>
      <c r="J19" s="2" t="s">
        <v>22173</v>
      </c>
      <c r="K19" s="2"/>
      <c r="L19" s="2" t="s">
        <v>22077</v>
      </c>
      <c r="M19" s="2" t="s">
        <v>22149</v>
      </c>
      <c r="N19" s="2" t="s">
        <v>22174</v>
      </c>
      <c r="O19" s="2" t="s">
        <v>164</v>
      </c>
      <c r="P19" s="2" t="s">
        <v>1865</v>
      </c>
    </row>
    <row r="20" spans="1:17" ht="13.2" customHeight="1" x14ac:dyDescent="0.25">
      <c r="A20" s="8" t="s">
        <v>10169</v>
      </c>
      <c r="B20" s="2" t="s">
        <v>3399</v>
      </c>
      <c r="C20" s="2"/>
      <c r="D20" s="2" t="s">
        <v>22149</v>
      </c>
      <c r="E20" s="2" t="s">
        <v>22172</v>
      </c>
      <c r="F20" s="2" t="s">
        <v>22175</v>
      </c>
      <c r="G20" s="2" t="s">
        <v>22119</v>
      </c>
      <c r="H20" s="2" t="s">
        <v>22120</v>
      </c>
      <c r="I20" s="8" t="s">
        <v>84</v>
      </c>
      <c r="J20" s="2" t="s">
        <v>22176</v>
      </c>
      <c r="K20" s="2"/>
      <c r="L20" s="2" t="s">
        <v>22077</v>
      </c>
      <c r="M20" s="2" t="s">
        <v>22149</v>
      </c>
      <c r="N20" s="2" t="s">
        <v>4814</v>
      </c>
      <c r="O20" s="2" t="s">
        <v>164</v>
      </c>
      <c r="P20" s="2" t="s">
        <v>2017</v>
      </c>
    </row>
    <row r="21" spans="1:17" ht="13.2" customHeight="1" x14ac:dyDescent="0.25">
      <c r="A21" s="8" t="s">
        <v>10177</v>
      </c>
      <c r="B21" s="2" t="s">
        <v>22177</v>
      </c>
      <c r="C21" s="2"/>
      <c r="D21" s="2" t="s">
        <v>22149</v>
      </c>
      <c r="E21" s="2" t="s">
        <v>22120</v>
      </c>
      <c r="F21" s="2" t="s">
        <v>22167</v>
      </c>
      <c r="G21" s="2" t="s">
        <v>22132</v>
      </c>
      <c r="H21" s="2" t="s">
        <v>22133</v>
      </c>
      <c r="I21" s="8" t="s">
        <v>84</v>
      </c>
      <c r="J21" s="2" t="s">
        <v>22178</v>
      </c>
      <c r="K21" s="2"/>
      <c r="L21" s="2" t="s">
        <v>22077</v>
      </c>
      <c r="M21" s="2" t="s">
        <v>22149</v>
      </c>
      <c r="N21" s="2" t="s">
        <v>4814</v>
      </c>
      <c r="O21" s="2" t="s">
        <v>164</v>
      </c>
      <c r="P21" s="2" t="s">
        <v>2017</v>
      </c>
    </row>
    <row r="22" spans="1:17" ht="13.2" customHeight="1" x14ac:dyDescent="0.25">
      <c r="A22" s="8" t="s">
        <v>10183</v>
      </c>
      <c r="B22" s="2" t="s">
        <v>22179</v>
      </c>
      <c r="C22" s="2"/>
      <c r="D22" s="2" t="s">
        <v>22149</v>
      </c>
      <c r="E22" s="2" t="s">
        <v>22133</v>
      </c>
      <c r="F22" s="2" t="s">
        <v>22134</v>
      </c>
      <c r="G22" s="2" t="s">
        <v>22135</v>
      </c>
      <c r="H22" s="2" t="s">
        <v>22171</v>
      </c>
      <c r="I22" s="8" t="s">
        <v>84</v>
      </c>
      <c r="J22" s="2" t="s">
        <v>22180</v>
      </c>
      <c r="K22" s="2"/>
      <c r="L22" s="2" t="s">
        <v>22077</v>
      </c>
      <c r="M22" s="2" t="s">
        <v>22149</v>
      </c>
      <c r="N22" s="2" t="s">
        <v>6072</v>
      </c>
      <c r="O22" s="2" t="s">
        <v>164</v>
      </c>
      <c r="P22" s="2" t="s">
        <v>2017</v>
      </c>
    </row>
    <row r="23" spans="1:17" ht="13.2" customHeight="1" x14ac:dyDescent="0.25">
      <c r="A23" s="8" t="s">
        <v>10189</v>
      </c>
      <c r="B23" s="2" t="s">
        <v>22181</v>
      </c>
      <c r="C23" s="2"/>
      <c r="D23" s="2" t="s">
        <v>22149</v>
      </c>
      <c r="E23" s="2" t="s">
        <v>22171</v>
      </c>
      <c r="F23" s="2" t="s">
        <v>22172</v>
      </c>
      <c r="G23" s="2" t="s">
        <v>22175</v>
      </c>
      <c r="H23" s="2" t="s">
        <v>22119</v>
      </c>
      <c r="I23" s="8" t="s">
        <v>84</v>
      </c>
      <c r="J23" s="2" t="s">
        <v>22182</v>
      </c>
      <c r="K23" s="2"/>
      <c r="L23" s="2" t="s">
        <v>22122</v>
      </c>
      <c r="M23" s="2" t="s">
        <v>22149</v>
      </c>
      <c r="N23" s="2" t="s">
        <v>22183</v>
      </c>
      <c r="O23" s="2" t="s">
        <v>164</v>
      </c>
      <c r="P23" s="2" t="s">
        <v>2109</v>
      </c>
    </row>
    <row r="24" spans="1:17" ht="13.2" customHeight="1" x14ac:dyDescent="0.25">
      <c r="A24" s="8" t="s">
        <v>10197</v>
      </c>
      <c r="B24" s="2" t="s">
        <v>22184</v>
      </c>
      <c r="C24" s="2"/>
      <c r="D24" s="2" t="s">
        <v>22149</v>
      </c>
      <c r="E24" s="2" t="s">
        <v>22119</v>
      </c>
      <c r="F24" s="2" t="s">
        <v>22120</v>
      </c>
      <c r="G24" s="2" t="s">
        <v>22167</v>
      </c>
      <c r="H24" s="2" t="s">
        <v>22132</v>
      </c>
      <c r="I24" s="8" t="s">
        <v>84</v>
      </c>
      <c r="J24" s="2" t="s">
        <v>22185</v>
      </c>
      <c r="K24" s="2"/>
      <c r="L24" s="2" t="s">
        <v>22077</v>
      </c>
      <c r="M24" s="2" t="s">
        <v>22149</v>
      </c>
      <c r="N24" s="2" t="s">
        <v>22186</v>
      </c>
      <c r="O24" s="2" t="s">
        <v>164</v>
      </c>
      <c r="P24" s="2" t="s">
        <v>2155</v>
      </c>
    </row>
    <row r="25" spans="1:17" ht="13.2" customHeight="1" x14ac:dyDescent="0.25">
      <c r="A25" s="8" t="s">
        <v>10197</v>
      </c>
      <c r="B25" s="2" t="s">
        <v>22187</v>
      </c>
      <c r="C25" s="2"/>
      <c r="D25" s="2" t="s">
        <v>22188</v>
      </c>
      <c r="E25" s="2" t="s">
        <v>22189</v>
      </c>
      <c r="F25" s="2" t="s">
        <v>22190</v>
      </c>
      <c r="G25" s="2" t="s">
        <v>22191</v>
      </c>
      <c r="H25" s="2" t="s">
        <v>22192</v>
      </c>
      <c r="I25" s="8" t="s">
        <v>84</v>
      </c>
      <c r="J25" s="2" t="s">
        <v>22193</v>
      </c>
      <c r="K25" s="2"/>
      <c r="L25" s="2" t="s">
        <v>22077</v>
      </c>
      <c r="M25" s="2" t="s">
        <v>72</v>
      </c>
      <c r="N25" s="2" t="s">
        <v>22194</v>
      </c>
      <c r="O25" s="2" t="s">
        <v>164</v>
      </c>
      <c r="P25" s="2" t="s">
        <v>2206</v>
      </c>
    </row>
    <row r="26" spans="1:17" ht="13.2" customHeight="1" x14ac:dyDescent="0.25">
      <c r="A26" s="8" t="s">
        <v>10207</v>
      </c>
      <c r="B26" s="2" t="s">
        <v>22195</v>
      </c>
      <c r="C26" s="2"/>
      <c r="D26" s="8" t="s">
        <v>22196</v>
      </c>
      <c r="E26" s="8" t="s">
        <v>22197</v>
      </c>
      <c r="F26" s="8" t="s">
        <v>22198</v>
      </c>
      <c r="G26" s="8" t="s">
        <v>22199</v>
      </c>
      <c r="H26" s="2" t="s">
        <v>22200</v>
      </c>
      <c r="I26" s="8" t="s">
        <v>84</v>
      </c>
      <c r="J26" s="2" t="s">
        <v>22201</v>
      </c>
      <c r="K26" s="2"/>
      <c r="L26" s="2" t="s">
        <v>22202</v>
      </c>
      <c r="M26" s="2" t="s">
        <v>72</v>
      </c>
      <c r="N26" s="2" t="s">
        <v>22203</v>
      </c>
      <c r="O26" s="2" t="s">
        <v>164</v>
      </c>
      <c r="P26" s="2" t="s">
        <v>2206</v>
      </c>
    </row>
    <row r="27" spans="1:17" ht="13.2" customHeight="1" x14ac:dyDescent="0.25">
      <c r="A27" s="8" t="s">
        <v>10214</v>
      </c>
      <c r="B27" s="2" t="s">
        <v>22204</v>
      </c>
      <c r="C27" s="2"/>
      <c r="D27" s="2" t="s">
        <v>22205</v>
      </c>
      <c r="E27" s="2" t="s">
        <v>21731</v>
      </c>
      <c r="F27" s="2" t="s">
        <v>22206</v>
      </c>
      <c r="G27" s="2" t="s">
        <v>3398</v>
      </c>
      <c r="H27" s="2" t="s">
        <v>22207</v>
      </c>
      <c r="I27" s="8" t="s">
        <v>84</v>
      </c>
      <c r="J27" s="2" t="s">
        <v>22208</v>
      </c>
      <c r="K27" s="2"/>
      <c r="L27" s="2" t="s">
        <v>22077</v>
      </c>
      <c r="M27" s="2" t="s">
        <v>72</v>
      </c>
      <c r="N27" s="2" t="s">
        <v>4924</v>
      </c>
      <c r="O27" s="2" t="s">
        <v>164</v>
      </c>
      <c r="P27" s="2" t="s">
        <v>2514</v>
      </c>
    </row>
    <row r="28" spans="1:17" ht="13.2" customHeight="1" x14ac:dyDescent="0.25">
      <c r="A28" s="8" t="s">
        <v>10222</v>
      </c>
      <c r="B28" s="2" t="s">
        <v>22209</v>
      </c>
      <c r="C28" s="2"/>
      <c r="D28" s="2" t="s">
        <v>22210</v>
      </c>
      <c r="E28" s="2" t="s">
        <v>22211</v>
      </c>
      <c r="F28" s="2" t="s">
        <v>22212</v>
      </c>
      <c r="G28" s="2" t="s">
        <v>22213</v>
      </c>
      <c r="H28" s="2" t="s">
        <v>22214</v>
      </c>
      <c r="I28" s="8" t="s">
        <v>84</v>
      </c>
      <c r="J28" s="2" t="s">
        <v>22215</v>
      </c>
      <c r="K28" s="2"/>
      <c r="L28" s="2" t="s">
        <v>22077</v>
      </c>
      <c r="M28" s="2" t="s">
        <v>72</v>
      </c>
      <c r="N28" s="2" t="s">
        <v>22216</v>
      </c>
      <c r="O28" s="2" t="s">
        <v>164</v>
      </c>
      <c r="P28" s="2" t="s">
        <v>2514</v>
      </c>
    </row>
    <row r="29" spans="1:17" ht="13.2" customHeight="1" x14ac:dyDescent="0.25">
      <c r="A29" s="8" t="s">
        <v>10231</v>
      </c>
      <c r="B29" s="2" t="s">
        <v>22217</v>
      </c>
      <c r="C29" s="2"/>
      <c r="D29" s="2" t="s">
        <v>22133</v>
      </c>
      <c r="E29" s="2" t="s">
        <v>22134</v>
      </c>
      <c r="F29" s="2" t="s">
        <v>22135</v>
      </c>
      <c r="G29" s="2" t="s">
        <v>22171</v>
      </c>
      <c r="H29" s="2" t="s">
        <v>22172</v>
      </c>
      <c r="I29" s="8" t="s">
        <v>84</v>
      </c>
      <c r="J29" s="2" t="s">
        <v>22218</v>
      </c>
      <c r="K29" s="2"/>
      <c r="L29" s="2" t="s">
        <v>22077</v>
      </c>
      <c r="M29" s="2" t="s">
        <v>72</v>
      </c>
      <c r="N29" s="2" t="s">
        <v>20386</v>
      </c>
      <c r="O29" s="2" t="s">
        <v>164</v>
      </c>
      <c r="P29" s="2" t="s">
        <v>3561</v>
      </c>
    </row>
    <row r="30" spans="1:17" ht="13.2" customHeight="1" x14ac:dyDescent="0.25">
      <c r="A30" s="8" t="s">
        <v>10238</v>
      </c>
      <c r="B30" s="2" t="s">
        <v>22219</v>
      </c>
      <c r="C30" s="2"/>
      <c r="D30" s="2" t="s">
        <v>22171</v>
      </c>
      <c r="E30" s="2" t="s">
        <v>22172</v>
      </c>
      <c r="F30" s="2" t="s">
        <v>22175</v>
      </c>
      <c r="G30" s="2" t="s">
        <v>22119</v>
      </c>
      <c r="H30" s="2" t="s">
        <v>22120</v>
      </c>
      <c r="I30" s="8" t="s">
        <v>84</v>
      </c>
      <c r="J30" s="2" t="s">
        <v>22220</v>
      </c>
      <c r="K30" s="2"/>
      <c r="L30" s="2" t="s">
        <v>22077</v>
      </c>
      <c r="M30" s="2" t="s">
        <v>72</v>
      </c>
      <c r="N30" s="2" t="s">
        <v>22221</v>
      </c>
      <c r="O30" s="2" t="s">
        <v>164</v>
      </c>
      <c r="P30" s="2" t="s">
        <v>3561</v>
      </c>
    </row>
    <row r="31" spans="1:17" ht="13.2" customHeight="1" x14ac:dyDescent="0.25">
      <c r="A31" s="8" t="s">
        <v>10246</v>
      </c>
      <c r="B31" s="2" t="s">
        <v>22222</v>
      </c>
      <c r="C31" s="2"/>
      <c r="D31" s="2" t="s">
        <v>22119</v>
      </c>
      <c r="E31" s="2" t="s">
        <v>22120</v>
      </c>
      <c r="F31" s="2" t="s">
        <v>22167</v>
      </c>
      <c r="G31" s="2" t="s">
        <v>22132</v>
      </c>
      <c r="H31" s="2" t="s">
        <v>22133</v>
      </c>
      <c r="I31" s="8" t="s">
        <v>84</v>
      </c>
      <c r="J31" s="2" t="s">
        <v>22223</v>
      </c>
      <c r="K31" s="2"/>
      <c r="L31" s="2" t="s">
        <v>22202</v>
      </c>
      <c r="M31" s="2" t="s">
        <v>72</v>
      </c>
      <c r="N31" s="2" t="s">
        <v>19644</v>
      </c>
      <c r="O31" s="2" t="s">
        <v>164</v>
      </c>
      <c r="P31" s="2" t="s">
        <v>3561</v>
      </c>
    </row>
    <row r="32" spans="1:17" ht="13.2" customHeight="1" x14ac:dyDescent="0.25">
      <c r="A32" s="8" t="s">
        <v>10250</v>
      </c>
      <c r="B32" s="2" t="s">
        <v>22224</v>
      </c>
      <c r="C32" s="2"/>
      <c r="D32" s="2" t="s">
        <v>22132</v>
      </c>
      <c r="E32" s="2" t="s">
        <v>22133</v>
      </c>
      <c r="F32" s="2" t="s">
        <v>22134</v>
      </c>
      <c r="G32" s="2" t="s">
        <v>22135</v>
      </c>
      <c r="H32" s="2" t="s">
        <v>22171</v>
      </c>
      <c r="I32" s="8" t="s">
        <v>84</v>
      </c>
      <c r="J32" s="2" t="s">
        <v>22225</v>
      </c>
      <c r="K32" s="2"/>
      <c r="L32" s="2" t="s">
        <v>22202</v>
      </c>
      <c r="M32" s="2" t="s">
        <v>72</v>
      </c>
      <c r="N32" s="2" t="s">
        <v>19647</v>
      </c>
      <c r="O32" s="2" t="s">
        <v>164</v>
      </c>
      <c r="P32" s="2" t="s">
        <v>3561</v>
      </c>
    </row>
    <row r="33" spans="1:16" ht="13.2" customHeight="1" x14ac:dyDescent="0.25">
      <c r="A33" s="8" t="s">
        <v>10257</v>
      </c>
      <c r="B33" s="2" t="s">
        <v>22226</v>
      </c>
      <c r="C33" s="2"/>
      <c r="D33" s="2" t="s">
        <v>22135</v>
      </c>
      <c r="E33" s="2" t="s">
        <v>22171</v>
      </c>
      <c r="F33" s="2" t="s">
        <v>22172</v>
      </c>
      <c r="G33" s="2" t="s">
        <v>22175</v>
      </c>
      <c r="H33" s="2" t="s">
        <v>22119</v>
      </c>
      <c r="I33" s="8" t="s">
        <v>84</v>
      </c>
      <c r="J33" s="2" t="s">
        <v>22227</v>
      </c>
      <c r="K33" s="2"/>
      <c r="L33" s="2" t="s">
        <v>22202</v>
      </c>
      <c r="M33" s="2" t="s">
        <v>72</v>
      </c>
      <c r="N33" s="2" t="s">
        <v>17818</v>
      </c>
      <c r="O33" s="2" t="s">
        <v>164</v>
      </c>
      <c r="P33" s="2" t="s">
        <v>2706</v>
      </c>
    </row>
    <row r="34" spans="1:16" ht="13.2" customHeight="1" x14ac:dyDescent="0.25">
      <c r="A34" s="8" t="s">
        <v>10261</v>
      </c>
      <c r="B34" s="2" t="s">
        <v>22228</v>
      </c>
      <c r="C34" s="2"/>
      <c r="D34" s="2" t="s">
        <v>22175</v>
      </c>
      <c r="E34" s="2" t="s">
        <v>22119</v>
      </c>
      <c r="F34" s="2" t="s">
        <v>22120</v>
      </c>
      <c r="G34" s="2" t="s">
        <v>22167</v>
      </c>
      <c r="H34" s="2" t="s">
        <v>22132</v>
      </c>
      <c r="I34" s="8" t="s">
        <v>84</v>
      </c>
      <c r="J34" s="2" t="s">
        <v>22229</v>
      </c>
      <c r="K34" s="2"/>
      <c r="L34" s="2" t="s">
        <v>22202</v>
      </c>
      <c r="M34" s="2" t="s">
        <v>72</v>
      </c>
      <c r="N34" s="2" t="s">
        <v>16859</v>
      </c>
      <c r="O34" s="2" t="s">
        <v>164</v>
      </c>
      <c r="P34" s="2" t="s">
        <v>2706</v>
      </c>
    </row>
    <row r="35" spans="1:16" ht="13.2" customHeight="1" x14ac:dyDescent="0.25">
      <c r="A35" s="8" t="s">
        <v>10267</v>
      </c>
      <c r="B35" s="2" t="s">
        <v>22230</v>
      </c>
      <c r="C35" s="2"/>
      <c r="D35" s="2" t="s">
        <v>22167</v>
      </c>
      <c r="E35" s="2" t="s">
        <v>22132</v>
      </c>
      <c r="F35" s="2" t="s">
        <v>22133</v>
      </c>
      <c r="G35" s="2" t="s">
        <v>22134</v>
      </c>
      <c r="H35" s="2" t="s">
        <v>22135</v>
      </c>
      <c r="I35" s="8" t="s">
        <v>84</v>
      </c>
      <c r="J35" s="2" t="s">
        <v>22231</v>
      </c>
      <c r="K35" s="2"/>
      <c r="L35" s="2" t="s">
        <v>22202</v>
      </c>
      <c r="M35" s="2" t="s">
        <v>72</v>
      </c>
      <c r="N35" s="2" t="s">
        <v>3595</v>
      </c>
      <c r="O35" s="2" t="s">
        <v>164</v>
      </c>
      <c r="P35" s="2" t="s">
        <v>2706</v>
      </c>
    </row>
    <row r="36" spans="1:16" ht="13.2" customHeight="1" x14ac:dyDescent="0.25">
      <c r="A36" s="8" t="s">
        <v>10920</v>
      </c>
      <c r="B36" s="2" t="s">
        <v>22232</v>
      </c>
      <c r="C36" s="2"/>
      <c r="D36" s="2" t="s">
        <v>22134</v>
      </c>
      <c r="E36" s="2" t="s">
        <v>22135</v>
      </c>
      <c r="F36" s="2" t="s">
        <v>22171</v>
      </c>
      <c r="G36" s="2" t="s">
        <v>22172</v>
      </c>
      <c r="H36" s="2" t="s">
        <v>22175</v>
      </c>
      <c r="I36" s="8" t="s">
        <v>84</v>
      </c>
      <c r="J36" s="2" t="s">
        <v>22233</v>
      </c>
      <c r="K36" s="2"/>
      <c r="L36" s="2" t="s">
        <v>22122</v>
      </c>
      <c r="M36" s="2" t="s">
        <v>72</v>
      </c>
      <c r="N36" s="2" t="s">
        <v>3634</v>
      </c>
      <c r="O36" s="2" t="s">
        <v>164</v>
      </c>
      <c r="P36" s="2" t="s">
        <v>2707</v>
      </c>
    </row>
    <row r="37" spans="1:16" ht="13.2" customHeight="1" x14ac:dyDescent="0.25">
      <c r="A37" s="8" t="s">
        <v>10275</v>
      </c>
      <c r="B37" s="2" t="s">
        <v>22234</v>
      </c>
      <c r="C37" s="2"/>
      <c r="D37" s="2" t="s">
        <v>22172</v>
      </c>
      <c r="E37" s="2" t="s">
        <v>22175</v>
      </c>
      <c r="F37" s="2" t="s">
        <v>22119</v>
      </c>
      <c r="G37" s="2" t="s">
        <v>22120</v>
      </c>
      <c r="H37" s="2" t="s">
        <v>22167</v>
      </c>
      <c r="I37" s="8" t="s">
        <v>84</v>
      </c>
      <c r="J37" s="2" t="s">
        <v>22235</v>
      </c>
      <c r="K37" s="2"/>
      <c r="L37" s="2" t="s">
        <v>22077</v>
      </c>
      <c r="M37" s="2" t="s">
        <v>72</v>
      </c>
      <c r="N37" s="2" t="s">
        <v>14290</v>
      </c>
      <c r="O37" s="2" t="s">
        <v>164</v>
      </c>
      <c r="P37" s="2" t="s">
        <v>2709</v>
      </c>
    </row>
    <row r="38" spans="1:16" ht="13.2" customHeight="1" x14ac:dyDescent="0.25">
      <c r="A38" s="8" t="s">
        <v>10285</v>
      </c>
      <c r="B38" s="2" t="s">
        <v>22236</v>
      </c>
      <c r="C38" s="2"/>
      <c r="D38" s="2" t="s">
        <v>22120</v>
      </c>
      <c r="E38" s="2" t="s">
        <v>22167</v>
      </c>
      <c r="F38" s="2" t="s">
        <v>22132</v>
      </c>
      <c r="G38" s="2" t="s">
        <v>22133</v>
      </c>
      <c r="H38" s="2" t="s">
        <v>22134</v>
      </c>
      <c r="I38" s="8" t="s">
        <v>84</v>
      </c>
      <c r="J38" s="2" t="s">
        <v>22237</v>
      </c>
      <c r="K38" s="2"/>
      <c r="L38" s="2" t="s">
        <v>22202</v>
      </c>
      <c r="M38" s="2" t="s">
        <v>72</v>
      </c>
      <c r="N38" s="2" t="s">
        <v>3699</v>
      </c>
      <c r="O38" s="2" t="s">
        <v>164</v>
      </c>
      <c r="P38" s="2" t="s">
        <v>2709</v>
      </c>
    </row>
    <row r="39" spans="1:16" ht="13.2" customHeight="1" x14ac:dyDescent="0.25">
      <c r="A39" s="8" t="s">
        <v>10294</v>
      </c>
      <c r="B39" s="2" t="s">
        <v>22238</v>
      </c>
      <c r="C39" s="2"/>
      <c r="D39" s="2" t="s">
        <v>22133</v>
      </c>
      <c r="E39" s="2" t="s">
        <v>22134</v>
      </c>
      <c r="F39" s="2" t="s">
        <v>22135</v>
      </c>
      <c r="G39" s="2" t="s">
        <v>22171</v>
      </c>
      <c r="H39" s="2" t="s">
        <v>22172</v>
      </c>
      <c r="I39" s="8" t="s">
        <v>84</v>
      </c>
      <c r="J39" s="2" t="s">
        <v>22218</v>
      </c>
      <c r="K39" s="2"/>
      <c r="L39" s="2" t="s">
        <v>22077</v>
      </c>
      <c r="M39" s="2" t="s">
        <v>72</v>
      </c>
      <c r="N39" s="2" t="s">
        <v>14290</v>
      </c>
      <c r="O39" s="2" t="s">
        <v>164</v>
      </c>
      <c r="P39" s="2" t="s">
        <v>2709</v>
      </c>
    </row>
    <row r="40" spans="1:16" ht="13.2" customHeight="1" x14ac:dyDescent="0.25">
      <c r="A40" s="8" t="s">
        <v>10302</v>
      </c>
      <c r="B40" s="2" t="s">
        <v>22239</v>
      </c>
      <c r="C40" s="2"/>
      <c r="D40" s="2" t="s">
        <v>22171</v>
      </c>
      <c r="E40" s="2" t="s">
        <v>22172</v>
      </c>
      <c r="F40" s="2" t="s">
        <v>22175</v>
      </c>
      <c r="G40" s="2" t="s">
        <v>22119</v>
      </c>
      <c r="H40" s="2" t="s">
        <v>22120</v>
      </c>
      <c r="I40" s="8" t="s">
        <v>84</v>
      </c>
      <c r="J40" s="2" t="s">
        <v>22240</v>
      </c>
      <c r="K40" s="2"/>
      <c r="L40" s="2" t="s">
        <v>22077</v>
      </c>
      <c r="M40" s="2" t="s">
        <v>72</v>
      </c>
      <c r="N40" s="2" t="s">
        <v>6181</v>
      </c>
      <c r="O40" s="2" t="s">
        <v>164</v>
      </c>
      <c r="P40" s="2" t="s">
        <v>2709</v>
      </c>
    </row>
    <row r="41" spans="1:16" ht="13.2" customHeight="1" x14ac:dyDescent="0.25">
      <c r="A41" s="8" t="s">
        <v>10309</v>
      </c>
      <c r="B41" s="2" t="s">
        <v>22241</v>
      </c>
      <c r="C41" s="2"/>
      <c r="D41" s="2" t="s">
        <v>22119</v>
      </c>
      <c r="E41" s="2" t="s">
        <v>22120</v>
      </c>
      <c r="F41" s="2" t="s">
        <v>22167</v>
      </c>
      <c r="G41" s="2" t="s">
        <v>22132</v>
      </c>
      <c r="H41" s="2" t="s">
        <v>22133</v>
      </c>
      <c r="I41" s="8" t="s">
        <v>84</v>
      </c>
      <c r="J41" s="2" t="s">
        <v>22242</v>
      </c>
      <c r="K41" s="2"/>
      <c r="L41" s="2" t="s">
        <v>22077</v>
      </c>
      <c r="M41" s="2" t="s">
        <v>72</v>
      </c>
      <c r="N41" s="2" t="s">
        <v>9897</v>
      </c>
      <c r="O41" s="2" t="s">
        <v>164</v>
      </c>
      <c r="P41" s="2" t="s">
        <v>2709</v>
      </c>
    </row>
    <row r="42" spans="1:16" ht="13.2" customHeight="1" x14ac:dyDescent="0.25">
      <c r="A42" s="8" t="s">
        <v>10316</v>
      </c>
      <c r="B42" s="2" t="s">
        <v>22243</v>
      </c>
      <c r="C42" s="2"/>
      <c r="D42" s="2" t="s">
        <v>22132</v>
      </c>
      <c r="E42" s="2" t="s">
        <v>22133</v>
      </c>
      <c r="F42" s="2" t="s">
        <v>22134</v>
      </c>
      <c r="G42" s="2" t="s">
        <v>22135</v>
      </c>
      <c r="H42" s="2" t="s">
        <v>22171</v>
      </c>
      <c r="I42" s="8" t="s">
        <v>84</v>
      </c>
      <c r="J42" s="2" t="s">
        <v>22244</v>
      </c>
      <c r="K42" s="2"/>
      <c r="L42" s="2" t="s">
        <v>22077</v>
      </c>
      <c r="M42" s="2" t="s">
        <v>72</v>
      </c>
      <c r="N42" s="2" t="s">
        <v>6181</v>
      </c>
      <c r="O42" s="2" t="s">
        <v>164</v>
      </c>
      <c r="P42" s="2" t="s">
        <v>2709</v>
      </c>
    </row>
    <row r="43" spans="1:16" ht="13.2" customHeight="1" x14ac:dyDescent="0.25">
      <c r="A43" s="8" t="s">
        <v>10323</v>
      </c>
      <c r="B43" s="2" t="s">
        <v>22245</v>
      </c>
      <c r="C43" s="2"/>
      <c r="D43" s="2" t="s">
        <v>22246</v>
      </c>
      <c r="E43" s="2" t="s">
        <v>22171</v>
      </c>
      <c r="F43" s="2" t="s">
        <v>22172</v>
      </c>
      <c r="G43" s="2" t="s">
        <v>22175</v>
      </c>
      <c r="H43" s="2" t="s">
        <v>22119</v>
      </c>
      <c r="I43" s="8" t="s">
        <v>84</v>
      </c>
      <c r="J43" s="2" t="s">
        <v>22247</v>
      </c>
      <c r="K43" s="2"/>
      <c r="L43" s="2" t="s">
        <v>22122</v>
      </c>
      <c r="M43" s="2" t="s">
        <v>72</v>
      </c>
      <c r="N43" s="2" t="s">
        <v>14290</v>
      </c>
      <c r="O43" s="2" t="s">
        <v>164</v>
      </c>
      <c r="P43" s="2" t="s">
        <v>2709</v>
      </c>
    </row>
    <row r="44" spans="1:16" ht="13.2" customHeight="1" x14ac:dyDescent="0.25">
      <c r="A44" s="8" t="s">
        <v>10327</v>
      </c>
      <c r="B44" s="2" t="s">
        <v>22248</v>
      </c>
      <c r="C44" s="2"/>
      <c r="D44" s="2" t="s">
        <v>22175</v>
      </c>
      <c r="E44" s="2" t="s">
        <v>22119</v>
      </c>
      <c r="F44" s="2" t="s">
        <v>22120</v>
      </c>
      <c r="G44" s="2" t="s">
        <v>22167</v>
      </c>
      <c r="H44" s="2" t="s">
        <v>22132</v>
      </c>
      <c r="I44" s="8" t="s">
        <v>123</v>
      </c>
      <c r="J44" s="2" t="s">
        <v>22249</v>
      </c>
      <c r="K44" s="2"/>
      <c r="L44" s="2" t="s">
        <v>22077</v>
      </c>
      <c r="M44" s="2" t="s">
        <v>72</v>
      </c>
      <c r="N44" s="2" t="s">
        <v>13811</v>
      </c>
      <c r="O44" s="2" t="s">
        <v>816</v>
      </c>
      <c r="P44" s="2" t="s">
        <v>2710</v>
      </c>
    </row>
    <row r="45" spans="1:16" ht="13.2" customHeight="1" x14ac:dyDescent="0.25">
      <c r="A45" s="8" t="s">
        <v>10333</v>
      </c>
      <c r="B45" s="2" t="s">
        <v>22250</v>
      </c>
      <c r="C45" s="2"/>
      <c r="D45" s="2" t="s">
        <v>22251</v>
      </c>
      <c r="E45" s="2" t="s">
        <v>22252</v>
      </c>
      <c r="F45" s="2" t="s">
        <v>22253</v>
      </c>
      <c r="G45" s="2" t="s">
        <v>22254</v>
      </c>
      <c r="H45" s="2" t="s">
        <v>22255</v>
      </c>
      <c r="I45" s="8" t="s">
        <v>84</v>
      </c>
      <c r="J45" s="2" t="s">
        <v>22256</v>
      </c>
      <c r="K45" s="2"/>
      <c r="L45" s="2" t="s">
        <v>22077</v>
      </c>
      <c r="M45" s="2" t="s">
        <v>72</v>
      </c>
      <c r="N45" s="2" t="s">
        <v>2590</v>
      </c>
      <c r="O45" s="2" t="s">
        <v>816</v>
      </c>
      <c r="P45" s="2" t="s">
        <v>2710</v>
      </c>
    </row>
    <row r="46" spans="1:16" ht="13.2" customHeight="1" x14ac:dyDescent="0.25">
      <c r="A46" s="8" t="s">
        <v>10340</v>
      </c>
      <c r="B46" s="2" t="s">
        <v>22257</v>
      </c>
      <c r="C46" s="2"/>
      <c r="D46" s="2" t="s">
        <v>22134</v>
      </c>
      <c r="E46" s="2" t="s">
        <v>22135</v>
      </c>
      <c r="F46" s="2" t="s">
        <v>22171</v>
      </c>
      <c r="G46" s="2" t="s">
        <v>22172</v>
      </c>
      <c r="H46" s="2" t="s">
        <v>22175</v>
      </c>
      <c r="I46" s="8" t="s">
        <v>84</v>
      </c>
      <c r="J46" s="2" t="s">
        <v>22258</v>
      </c>
      <c r="K46" s="2"/>
      <c r="L46" s="2" t="s">
        <v>22077</v>
      </c>
      <c r="M46" s="2" t="s">
        <v>72</v>
      </c>
      <c r="N46" s="2" t="s">
        <v>1653</v>
      </c>
      <c r="O46" s="2" t="s">
        <v>816</v>
      </c>
      <c r="P46" s="2" t="s">
        <v>2710</v>
      </c>
    </row>
    <row r="47" spans="1:16" ht="13.2" customHeight="1" x14ac:dyDescent="0.25">
      <c r="A47" s="8" t="s">
        <v>10354</v>
      </c>
      <c r="B47" s="2" t="s">
        <v>22259</v>
      </c>
      <c r="C47" s="2"/>
      <c r="D47" s="2" t="s">
        <v>22172</v>
      </c>
      <c r="E47" s="2" t="s">
        <v>22175</v>
      </c>
      <c r="F47" s="2" t="s">
        <v>22119</v>
      </c>
      <c r="G47" s="2" t="s">
        <v>22120</v>
      </c>
      <c r="H47" s="2" t="s">
        <v>22167</v>
      </c>
      <c r="I47" s="8" t="s">
        <v>84</v>
      </c>
      <c r="J47" s="2" t="s">
        <v>22235</v>
      </c>
      <c r="K47" s="2"/>
      <c r="L47" s="2" t="s">
        <v>22077</v>
      </c>
      <c r="M47" s="2" t="s">
        <v>72</v>
      </c>
      <c r="N47" s="2" t="s">
        <v>13811</v>
      </c>
      <c r="O47" s="2" t="s">
        <v>816</v>
      </c>
      <c r="P47" s="2" t="s">
        <v>2710</v>
      </c>
    </row>
    <row r="48" spans="1:16" ht="13.2" customHeight="1" x14ac:dyDescent="0.25">
      <c r="A48" s="8" t="s">
        <v>10363</v>
      </c>
      <c r="B48" s="2" t="s">
        <v>22260</v>
      </c>
      <c r="C48" s="2"/>
      <c r="D48" s="2" t="s">
        <v>21736</v>
      </c>
      <c r="E48" s="2" t="s">
        <v>21737</v>
      </c>
      <c r="F48" s="2" t="s">
        <v>20975</v>
      </c>
      <c r="G48" s="2" t="s">
        <v>21731</v>
      </c>
      <c r="H48" s="2" t="s">
        <v>3395</v>
      </c>
      <c r="I48" s="8" t="s">
        <v>84</v>
      </c>
      <c r="J48" s="2" t="s">
        <v>22261</v>
      </c>
      <c r="K48" s="2"/>
      <c r="L48" s="2" t="s">
        <v>22077</v>
      </c>
      <c r="M48" s="2" t="s">
        <v>72</v>
      </c>
      <c r="N48" s="2" t="s">
        <v>2537</v>
      </c>
      <c r="O48" s="2" t="s">
        <v>816</v>
      </c>
      <c r="P48" s="2" t="s">
        <v>2710</v>
      </c>
    </row>
    <row r="49" spans="1:16" ht="13.2" customHeight="1" x14ac:dyDescent="0.25">
      <c r="A49" s="8" t="s">
        <v>10368</v>
      </c>
      <c r="B49" s="2" t="s">
        <v>22262</v>
      </c>
      <c r="C49" s="2"/>
      <c r="D49" s="2" t="s">
        <v>21736</v>
      </c>
      <c r="E49" s="2" t="s">
        <v>21737</v>
      </c>
      <c r="F49" s="2" t="s">
        <v>22263</v>
      </c>
      <c r="G49" s="2" t="s">
        <v>22264</v>
      </c>
      <c r="H49" s="2" t="s">
        <v>22265</v>
      </c>
      <c r="I49" s="8" t="s">
        <v>84</v>
      </c>
      <c r="J49" s="2" t="s">
        <v>22266</v>
      </c>
      <c r="K49" s="2"/>
      <c r="L49" s="2" t="s">
        <v>22077</v>
      </c>
      <c r="M49" s="2" t="s">
        <v>72</v>
      </c>
      <c r="N49" s="2" t="s">
        <v>3733</v>
      </c>
      <c r="O49" s="2" t="s">
        <v>816</v>
      </c>
      <c r="P49" s="2" t="s">
        <v>2710</v>
      </c>
    </row>
    <row r="50" spans="1:16" ht="13.2" customHeight="1" x14ac:dyDescent="0.25">
      <c r="A50" s="8" t="s">
        <v>10373</v>
      </c>
      <c r="B50" s="2" t="s">
        <v>22267</v>
      </c>
      <c r="C50" s="2"/>
      <c r="D50" s="2" t="s">
        <v>22268</v>
      </c>
      <c r="E50" s="2" t="s">
        <v>22269</v>
      </c>
      <c r="F50" s="2" t="s">
        <v>22270</v>
      </c>
      <c r="G50" s="2" t="s">
        <v>22271</v>
      </c>
      <c r="H50" s="2" t="s">
        <v>22272</v>
      </c>
      <c r="I50" s="8" t="s">
        <v>84</v>
      </c>
      <c r="J50" s="2" t="s">
        <v>22273</v>
      </c>
      <c r="K50" s="2"/>
      <c r="L50" s="2" t="s">
        <v>22077</v>
      </c>
      <c r="M50" s="2" t="s">
        <v>72</v>
      </c>
      <c r="N50" s="2" t="s">
        <v>2590</v>
      </c>
      <c r="O50" s="2" t="s">
        <v>816</v>
      </c>
      <c r="P50" s="2" t="s">
        <v>2710</v>
      </c>
    </row>
    <row r="51" spans="1:16" ht="13.2" customHeight="1" x14ac:dyDescent="0.25">
      <c r="A51" s="8" t="s">
        <v>10380</v>
      </c>
      <c r="B51" s="2" t="s">
        <v>22274</v>
      </c>
      <c r="C51" s="2"/>
      <c r="D51" s="2" t="s">
        <v>22275</v>
      </c>
      <c r="E51" s="2" t="s">
        <v>22103</v>
      </c>
      <c r="F51" s="2" t="s">
        <v>21745</v>
      </c>
      <c r="G51" s="2" t="s">
        <v>21743</v>
      </c>
      <c r="H51" s="2" t="s">
        <v>22276</v>
      </c>
      <c r="I51" s="8" t="s">
        <v>84</v>
      </c>
      <c r="J51" s="2" t="s">
        <v>22277</v>
      </c>
      <c r="K51" s="2"/>
      <c r="L51" s="2" t="s">
        <v>22077</v>
      </c>
      <c r="M51" s="2" t="s">
        <v>72</v>
      </c>
      <c r="N51" s="2" t="s">
        <v>2563</v>
      </c>
      <c r="O51" s="2" t="s">
        <v>816</v>
      </c>
      <c r="P51" s="2" t="s">
        <v>2710</v>
      </c>
    </row>
    <row r="52" spans="1:16" ht="13.2" customHeight="1" x14ac:dyDescent="0.25">
      <c r="A52" s="8" t="s">
        <v>8862</v>
      </c>
      <c r="B52" s="2" t="s">
        <v>22278</v>
      </c>
      <c r="C52" s="2"/>
      <c r="D52" s="2" t="s">
        <v>21746</v>
      </c>
      <c r="E52" s="2" t="s">
        <v>21747</v>
      </c>
      <c r="F52" s="2" t="s">
        <v>22279</v>
      </c>
      <c r="G52" s="2" t="s">
        <v>22280</v>
      </c>
      <c r="H52" s="2" t="s">
        <v>21743</v>
      </c>
      <c r="I52" s="8" t="s">
        <v>84</v>
      </c>
      <c r="J52" s="2" t="s">
        <v>22281</v>
      </c>
      <c r="K52" s="2"/>
      <c r="L52" s="2" t="s">
        <v>22077</v>
      </c>
      <c r="M52" s="2" t="s">
        <v>72</v>
      </c>
      <c r="N52" s="2" t="s">
        <v>3780</v>
      </c>
      <c r="O52" s="2" t="s">
        <v>816</v>
      </c>
      <c r="P52" s="2" t="s">
        <v>2710</v>
      </c>
    </row>
    <row r="53" spans="1:16" ht="13.2" customHeight="1" x14ac:dyDescent="0.25">
      <c r="A53" s="8" t="s">
        <v>10397</v>
      </c>
      <c r="B53" s="2" t="s">
        <v>22282</v>
      </c>
      <c r="C53" s="2"/>
      <c r="D53" s="2" t="s">
        <v>21746</v>
      </c>
      <c r="E53" s="2" t="s">
        <v>21747</v>
      </c>
      <c r="F53" s="2" t="s">
        <v>21744</v>
      </c>
      <c r="G53" s="2" t="s">
        <v>22280</v>
      </c>
      <c r="H53" s="2" t="s">
        <v>21743</v>
      </c>
      <c r="I53" s="8" t="s">
        <v>84</v>
      </c>
      <c r="J53" s="2" t="s">
        <v>22283</v>
      </c>
      <c r="K53" s="2"/>
      <c r="L53" s="2" t="s">
        <v>22077</v>
      </c>
      <c r="M53" s="2" t="s">
        <v>72</v>
      </c>
      <c r="N53" s="2" t="s">
        <v>6974</v>
      </c>
      <c r="O53" s="2" t="s">
        <v>816</v>
      </c>
      <c r="P53" s="2" t="s">
        <v>2710</v>
      </c>
    </row>
    <row r="54" spans="1:16" ht="13.2" customHeight="1" x14ac:dyDescent="0.25">
      <c r="A54" s="8" t="s">
        <v>10405</v>
      </c>
      <c r="B54" s="2" t="s">
        <v>22284</v>
      </c>
      <c r="C54" s="2"/>
      <c r="D54" s="2" t="s">
        <v>21746</v>
      </c>
      <c r="E54" s="2" t="s">
        <v>21747</v>
      </c>
      <c r="F54" s="2" t="s">
        <v>21744</v>
      </c>
      <c r="G54" s="2" t="s">
        <v>22280</v>
      </c>
      <c r="H54" s="2" t="s">
        <v>21743</v>
      </c>
      <c r="I54" s="8" t="s">
        <v>84</v>
      </c>
      <c r="J54" s="2" t="s">
        <v>22283</v>
      </c>
      <c r="K54" s="2"/>
      <c r="L54" s="2" t="s">
        <v>22077</v>
      </c>
      <c r="M54" s="2" t="s">
        <v>72</v>
      </c>
      <c r="N54" s="2" t="s">
        <v>7496</v>
      </c>
      <c r="O54" s="2" t="s">
        <v>816</v>
      </c>
      <c r="P54" s="2" t="s">
        <v>2710</v>
      </c>
    </row>
    <row r="55" spans="1:16" ht="13.2" customHeight="1" x14ac:dyDescent="0.25">
      <c r="A55" s="8" t="s">
        <v>10411</v>
      </c>
      <c r="B55" s="2" t="s">
        <v>22285</v>
      </c>
      <c r="C55" s="2"/>
      <c r="D55" s="2" t="s">
        <v>21746</v>
      </c>
      <c r="E55" s="2" t="s">
        <v>21747</v>
      </c>
      <c r="F55" s="2" t="s">
        <v>21744</v>
      </c>
      <c r="G55" s="2" t="s">
        <v>22286</v>
      </c>
      <c r="H55" s="2" t="s">
        <v>21743</v>
      </c>
      <c r="I55" s="8" t="s">
        <v>84</v>
      </c>
      <c r="J55" s="2" t="s">
        <v>22287</v>
      </c>
      <c r="K55" s="2"/>
      <c r="L55" s="2" t="s">
        <v>22077</v>
      </c>
      <c r="M55" s="2" t="s">
        <v>72</v>
      </c>
      <c r="N55" s="2" t="s">
        <v>16896</v>
      </c>
      <c r="O55" s="2" t="s">
        <v>816</v>
      </c>
      <c r="P55" s="2" t="s">
        <v>2710</v>
      </c>
    </row>
    <row r="56" spans="1:16" ht="13.2" customHeight="1" x14ac:dyDescent="0.25">
      <c r="A56" s="8" t="s">
        <v>10419</v>
      </c>
      <c r="B56" s="2" t="s">
        <v>22288</v>
      </c>
      <c r="C56" s="2"/>
      <c r="D56" s="2" t="s">
        <v>21746</v>
      </c>
      <c r="E56" s="2" t="s">
        <v>21747</v>
      </c>
      <c r="F56" s="2" t="s">
        <v>22289</v>
      </c>
      <c r="G56" s="2" t="s">
        <v>22286</v>
      </c>
      <c r="H56" s="2" t="s">
        <v>22290</v>
      </c>
      <c r="I56" s="8" t="s">
        <v>84</v>
      </c>
      <c r="J56" s="2" t="s">
        <v>22291</v>
      </c>
      <c r="K56" s="2"/>
      <c r="L56" s="2" t="s">
        <v>22077</v>
      </c>
      <c r="M56" s="2" t="s">
        <v>72</v>
      </c>
      <c r="N56" s="2" t="s">
        <v>5202</v>
      </c>
      <c r="O56" s="2" t="s">
        <v>816</v>
      </c>
      <c r="P56" s="2" t="s">
        <v>2710</v>
      </c>
    </row>
    <row r="57" spans="1:16" ht="13.2" customHeight="1" x14ac:dyDescent="0.25">
      <c r="A57" s="8" t="s">
        <v>10427</v>
      </c>
      <c r="B57" s="2" t="s">
        <v>22292</v>
      </c>
      <c r="C57" s="2"/>
      <c r="D57" s="2" t="s">
        <v>21746</v>
      </c>
      <c r="E57" s="2" t="s">
        <v>21747</v>
      </c>
      <c r="F57" s="2" t="s">
        <v>21744</v>
      </c>
      <c r="G57" s="2" t="s">
        <v>22286</v>
      </c>
      <c r="H57" s="2" t="s">
        <v>22290</v>
      </c>
      <c r="I57" s="8" t="s">
        <v>84</v>
      </c>
      <c r="J57" s="2" t="s">
        <v>22293</v>
      </c>
      <c r="K57" s="2"/>
      <c r="L57" s="2" t="s">
        <v>22077</v>
      </c>
      <c r="M57" s="2" t="s">
        <v>72</v>
      </c>
      <c r="N57" s="2" t="s">
        <v>10487</v>
      </c>
      <c r="O57" s="2" t="s">
        <v>816</v>
      </c>
      <c r="P57" s="2" t="s">
        <v>2710</v>
      </c>
    </row>
    <row r="58" spans="1:16" ht="13.2" customHeight="1" x14ac:dyDescent="0.25">
      <c r="A58" s="8" t="s">
        <v>10431</v>
      </c>
      <c r="B58" s="2" t="s">
        <v>22294</v>
      </c>
      <c r="C58" s="2"/>
      <c r="D58" s="2" t="s">
        <v>21744</v>
      </c>
      <c r="E58" s="2" t="s">
        <v>21746</v>
      </c>
      <c r="F58" s="2" t="s">
        <v>22295</v>
      </c>
      <c r="G58" s="2" t="s">
        <v>21745</v>
      </c>
      <c r="H58" s="2" t="s">
        <v>21743</v>
      </c>
      <c r="I58" s="8" t="s">
        <v>84</v>
      </c>
      <c r="J58" s="2" t="s">
        <v>22296</v>
      </c>
      <c r="K58" s="2"/>
      <c r="L58" s="2" t="s">
        <v>22077</v>
      </c>
      <c r="M58" s="2" t="s">
        <v>72</v>
      </c>
      <c r="N58" s="2" t="s">
        <v>6195</v>
      </c>
      <c r="O58" s="2" t="s">
        <v>816</v>
      </c>
      <c r="P58" s="2" t="s">
        <v>2710</v>
      </c>
    </row>
    <row r="59" spans="1:16" ht="13.2" customHeight="1" x14ac:dyDescent="0.25">
      <c r="A59" s="8" t="s">
        <v>10436</v>
      </c>
      <c r="B59" s="2" t="s">
        <v>22297</v>
      </c>
      <c r="C59" s="2"/>
      <c r="D59" s="2" t="s">
        <v>21746</v>
      </c>
      <c r="E59" s="2" t="s">
        <v>21747</v>
      </c>
      <c r="F59" s="2" t="s">
        <v>21744</v>
      </c>
      <c r="G59" s="2" t="s">
        <v>22298</v>
      </c>
      <c r="H59" s="2" t="s">
        <v>22299</v>
      </c>
      <c r="I59" s="8" t="s">
        <v>123</v>
      </c>
      <c r="J59" s="2" t="s">
        <v>22300</v>
      </c>
      <c r="K59" s="2"/>
      <c r="L59" s="2" t="s">
        <v>22077</v>
      </c>
      <c r="M59" s="2" t="s">
        <v>72</v>
      </c>
      <c r="N59" s="2" t="s">
        <v>9135</v>
      </c>
      <c r="O59" s="2" t="s">
        <v>816</v>
      </c>
      <c r="P59" s="2" t="s">
        <v>2710</v>
      </c>
    </row>
    <row r="60" spans="1:16" ht="13.2" customHeight="1" x14ac:dyDescent="0.25">
      <c r="A60" s="8" t="s">
        <v>10440</v>
      </c>
      <c r="B60" s="2" t="s">
        <v>22301</v>
      </c>
      <c r="C60" s="2"/>
      <c r="D60" s="2" t="s">
        <v>22171</v>
      </c>
      <c r="E60" s="2" t="s">
        <v>22172</v>
      </c>
      <c r="F60" s="2" t="s">
        <v>22175</v>
      </c>
      <c r="G60" s="2" t="s">
        <v>22119</v>
      </c>
      <c r="H60" s="2" t="s">
        <v>22120</v>
      </c>
      <c r="I60" s="8" t="s">
        <v>84</v>
      </c>
      <c r="J60" s="2" t="s">
        <v>22302</v>
      </c>
      <c r="K60" s="2"/>
      <c r="L60" s="2" t="s">
        <v>22202</v>
      </c>
      <c r="M60" s="2" t="s">
        <v>72</v>
      </c>
      <c r="N60" s="2" t="s">
        <v>3900</v>
      </c>
      <c r="O60" s="2" t="s">
        <v>816</v>
      </c>
      <c r="P60" s="2" t="s">
        <v>2711</v>
      </c>
    </row>
    <row r="61" spans="1:16" ht="13.2" customHeight="1" x14ac:dyDescent="0.25">
      <c r="A61" s="8" t="s">
        <v>10445</v>
      </c>
      <c r="B61" s="2" t="s">
        <v>22303</v>
      </c>
      <c r="C61" s="2"/>
      <c r="D61" s="2" t="s">
        <v>22119</v>
      </c>
      <c r="E61" s="2" t="s">
        <v>22120</v>
      </c>
      <c r="F61" s="2" t="s">
        <v>22167</v>
      </c>
      <c r="G61" s="2" t="s">
        <v>22132</v>
      </c>
      <c r="H61" s="2" t="s">
        <v>22133</v>
      </c>
      <c r="I61" s="8" t="s">
        <v>84</v>
      </c>
      <c r="J61" s="2" t="s">
        <v>22242</v>
      </c>
      <c r="K61" s="2"/>
      <c r="L61" s="2" t="s">
        <v>22077</v>
      </c>
      <c r="M61" s="2" t="s">
        <v>72</v>
      </c>
      <c r="N61" s="2" t="s">
        <v>5089</v>
      </c>
      <c r="O61" s="2" t="s">
        <v>816</v>
      </c>
      <c r="P61" s="2" t="s">
        <v>2711</v>
      </c>
    </row>
    <row r="62" spans="1:16" ht="13.2" customHeight="1" x14ac:dyDescent="0.25">
      <c r="A62" s="8" t="s">
        <v>10450</v>
      </c>
      <c r="B62" s="2" t="s">
        <v>22304</v>
      </c>
      <c r="C62" s="2"/>
      <c r="D62" s="2" t="s">
        <v>22132</v>
      </c>
      <c r="E62" s="2" t="s">
        <v>22133</v>
      </c>
      <c r="F62" s="2" t="s">
        <v>22134</v>
      </c>
      <c r="G62" s="2" t="s">
        <v>22135</v>
      </c>
      <c r="H62" s="2" t="s">
        <v>22171</v>
      </c>
      <c r="I62" s="8" t="s">
        <v>84</v>
      </c>
      <c r="J62" s="2" t="s">
        <v>22244</v>
      </c>
      <c r="K62" s="2"/>
      <c r="L62" s="2" t="s">
        <v>22077</v>
      </c>
      <c r="M62" s="2" t="s">
        <v>72</v>
      </c>
      <c r="N62" s="2" t="s">
        <v>3936</v>
      </c>
      <c r="O62" s="2" t="s">
        <v>816</v>
      </c>
      <c r="P62" s="2" t="s">
        <v>2711</v>
      </c>
    </row>
    <row r="63" spans="1:16" ht="13.2" customHeight="1" x14ac:dyDescent="0.25">
      <c r="A63" s="8" t="s">
        <v>10454</v>
      </c>
      <c r="B63" s="2" t="s">
        <v>22305</v>
      </c>
      <c r="C63" s="2"/>
      <c r="D63" s="2" t="s">
        <v>22135</v>
      </c>
      <c r="E63" s="2" t="s">
        <v>22171</v>
      </c>
      <c r="F63" s="2" t="s">
        <v>22172</v>
      </c>
      <c r="G63" s="2" t="s">
        <v>22175</v>
      </c>
      <c r="H63" s="2" t="s">
        <v>22119</v>
      </c>
      <c r="I63" s="8" t="s">
        <v>84</v>
      </c>
      <c r="J63" s="2" t="s">
        <v>22306</v>
      </c>
      <c r="K63" s="2"/>
      <c r="L63" s="2" t="s">
        <v>22077</v>
      </c>
      <c r="M63" s="2" t="s">
        <v>72</v>
      </c>
      <c r="N63" s="2" t="s">
        <v>3887</v>
      </c>
      <c r="O63" s="2" t="s">
        <v>816</v>
      </c>
      <c r="P63" s="2" t="s">
        <v>2711</v>
      </c>
    </row>
    <row r="64" spans="1:16" ht="13.2" customHeight="1" x14ac:dyDescent="0.25">
      <c r="A64" s="8" t="s">
        <v>10457</v>
      </c>
      <c r="B64" s="2" t="s">
        <v>22307</v>
      </c>
      <c r="C64" s="2"/>
      <c r="D64" s="2" t="s">
        <v>740</v>
      </c>
      <c r="E64" s="2" t="s">
        <v>1215</v>
      </c>
      <c r="F64" s="2" t="s">
        <v>733</v>
      </c>
      <c r="G64" s="2" t="s">
        <v>2613</v>
      </c>
      <c r="H64" s="2" t="s">
        <v>22308</v>
      </c>
      <c r="I64" s="8" t="s">
        <v>123</v>
      </c>
      <c r="J64" s="2" t="s">
        <v>22309</v>
      </c>
      <c r="K64" s="2"/>
      <c r="L64" s="2" t="s">
        <v>22077</v>
      </c>
      <c r="M64" s="2" t="s">
        <v>72</v>
      </c>
      <c r="N64" s="2" t="s">
        <v>22310</v>
      </c>
      <c r="O64" s="2" t="s">
        <v>816</v>
      </c>
      <c r="P64" s="2" t="s">
        <v>2711</v>
      </c>
    </row>
    <row r="65" spans="1:16" ht="13.2" customHeight="1" x14ac:dyDescent="0.25">
      <c r="A65" s="8" t="s">
        <v>10461</v>
      </c>
      <c r="B65" s="2" t="s">
        <v>22311</v>
      </c>
      <c r="C65" s="2"/>
      <c r="D65" s="2" t="s">
        <v>22167</v>
      </c>
      <c r="E65" s="2" t="s">
        <v>22132</v>
      </c>
      <c r="F65" s="2" t="s">
        <v>22133</v>
      </c>
      <c r="G65" s="2" t="s">
        <v>22134</v>
      </c>
      <c r="H65" s="2" t="s">
        <v>22135</v>
      </c>
      <c r="I65" s="8" t="s">
        <v>84</v>
      </c>
      <c r="J65" s="2" t="s">
        <v>22231</v>
      </c>
      <c r="K65" s="2"/>
      <c r="L65" s="2" t="s">
        <v>22202</v>
      </c>
      <c r="M65" s="2" t="s">
        <v>72</v>
      </c>
      <c r="N65" s="2" t="s">
        <v>2668</v>
      </c>
      <c r="O65" s="2" t="s">
        <v>816</v>
      </c>
      <c r="P65" s="2" t="s">
        <v>2711</v>
      </c>
    </row>
    <row r="66" spans="1:16" ht="13.2" customHeight="1" x14ac:dyDescent="0.25">
      <c r="A66" s="8" t="s">
        <v>10465</v>
      </c>
      <c r="B66" s="2" t="s">
        <v>22312</v>
      </c>
      <c r="C66" s="2"/>
      <c r="D66" s="2" t="s">
        <v>22134</v>
      </c>
      <c r="E66" s="2" t="s">
        <v>22135</v>
      </c>
      <c r="F66" s="2" t="s">
        <v>22171</v>
      </c>
      <c r="G66" s="2" t="s">
        <v>22172</v>
      </c>
      <c r="H66" s="2" t="s">
        <v>22175</v>
      </c>
      <c r="I66" s="8" t="s">
        <v>84</v>
      </c>
      <c r="J66" s="2" t="s">
        <v>22313</v>
      </c>
      <c r="K66" s="2"/>
      <c r="L66" s="2" t="s">
        <v>22202</v>
      </c>
      <c r="M66" s="2" t="s">
        <v>72</v>
      </c>
      <c r="N66" s="2" t="s">
        <v>3999</v>
      </c>
      <c r="O66" s="2" t="s">
        <v>816</v>
      </c>
      <c r="P66" s="2" t="s">
        <v>2711</v>
      </c>
    </row>
    <row r="67" spans="1:16" ht="13.2" customHeight="1" x14ac:dyDescent="0.25">
      <c r="A67" s="8" t="s">
        <v>10468</v>
      </c>
      <c r="B67" s="2" t="s">
        <v>22314</v>
      </c>
      <c r="C67" s="2"/>
      <c r="D67" s="2" t="s">
        <v>22172</v>
      </c>
      <c r="E67" s="2" t="s">
        <v>22175</v>
      </c>
      <c r="F67" s="2" t="s">
        <v>22119</v>
      </c>
      <c r="G67" s="2" t="s">
        <v>22120</v>
      </c>
      <c r="H67" s="2" t="s">
        <v>22167</v>
      </c>
      <c r="I67" s="8" t="s">
        <v>84</v>
      </c>
      <c r="J67" s="2" t="s">
        <v>22235</v>
      </c>
      <c r="K67" s="2"/>
      <c r="L67" s="2" t="s">
        <v>22077</v>
      </c>
      <c r="M67" s="2" t="s">
        <v>72</v>
      </c>
      <c r="N67" s="2" t="s">
        <v>22315</v>
      </c>
      <c r="O67" s="2" t="s">
        <v>816</v>
      </c>
      <c r="P67" s="2" t="s">
        <v>2711</v>
      </c>
    </row>
    <row r="68" spans="1:16" ht="13.2" customHeight="1" x14ac:dyDescent="0.25">
      <c r="A68" s="8" t="s">
        <v>10470</v>
      </c>
      <c r="B68" s="2" t="s">
        <v>22316</v>
      </c>
      <c r="C68" s="2"/>
      <c r="D68" s="2" t="s">
        <v>22120</v>
      </c>
      <c r="E68" s="2" t="s">
        <v>22167</v>
      </c>
      <c r="F68" s="2" t="s">
        <v>22132</v>
      </c>
      <c r="G68" s="2" t="s">
        <v>22133</v>
      </c>
      <c r="H68" s="2" t="s">
        <v>22134</v>
      </c>
      <c r="I68" s="8" t="s">
        <v>84</v>
      </c>
      <c r="J68" s="2" t="s">
        <v>22317</v>
      </c>
      <c r="K68" s="2"/>
      <c r="L68" s="2" t="s">
        <v>22122</v>
      </c>
      <c r="M68" s="2" t="s">
        <v>72</v>
      </c>
      <c r="N68" s="2" t="s">
        <v>2660</v>
      </c>
      <c r="O68" s="2" t="s">
        <v>816</v>
      </c>
      <c r="P68" s="2" t="s">
        <v>2711</v>
      </c>
    </row>
    <row r="69" spans="1:16" ht="13.2" customHeight="1" x14ac:dyDescent="0.25">
      <c r="A69" s="8" t="s">
        <v>10478</v>
      </c>
      <c r="B69" s="2" t="s">
        <v>22318</v>
      </c>
      <c r="C69" s="2"/>
      <c r="D69" s="2" t="s">
        <v>22133</v>
      </c>
      <c r="E69" s="2" t="s">
        <v>22134</v>
      </c>
      <c r="F69" s="2" t="s">
        <v>22135</v>
      </c>
      <c r="G69" s="2" t="s">
        <v>22171</v>
      </c>
      <c r="H69" s="2" t="s">
        <v>22172</v>
      </c>
      <c r="I69" s="8" t="s">
        <v>96</v>
      </c>
      <c r="J69" s="2" t="s">
        <v>22319</v>
      </c>
      <c r="K69" s="2"/>
      <c r="L69" s="2" t="s">
        <v>22202</v>
      </c>
      <c r="M69" s="2" t="s">
        <v>72</v>
      </c>
      <c r="N69" s="2" t="s">
        <v>1669</v>
      </c>
      <c r="O69" s="2" t="s">
        <v>816</v>
      </c>
      <c r="P69" s="2" t="s">
        <v>2711</v>
      </c>
    </row>
    <row r="70" spans="1:16" ht="13.2" customHeight="1" x14ac:dyDescent="0.25">
      <c r="A70" s="8" t="s">
        <v>10481</v>
      </c>
      <c r="B70" s="2" t="s">
        <v>22320</v>
      </c>
      <c r="C70" s="2"/>
      <c r="D70" s="2" t="s">
        <v>22171</v>
      </c>
      <c r="E70" s="2" t="s">
        <v>22172</v>
      </c>
      <c r="F70" s="2" t="s">
        <v>22175</v>
      </c>
      <c r="G70" s="2" t="s">
        <v>22119</v>
      </c>
      <c r="H70" s="2" t="s">
        <v>22120</v>
      </c>
      <c r="I70" s="8" t="s">
        <v>84</v>
      </c>
      <c r="J70" s="2" t="s">
        <v>22220</v>
      </c>
      <c r="K70" s="2"/>
      <c r="L70" s="2" t="s">
        <v>22077</v>
      </c>
      <c r="M70" s="2" t="s">
        <v>72</v>
      </c>
      <c r="N70" s="2" t="s">
        <v>22321</v>
      </c>
      <c r="O70" s="2" t="s">
        <v>816</v>
      </c>
      <c r="P70" s="2" t="s">
        <v>2711</v>
      </c>
    </row>
    <row r="71" spans="1:16" ht="13.2" customHeight="1" x14ac:dyDescent="0.25">
      <c r="A71" s="8" t="s">
        <v>10484</v>
      </c>
      <c r="B71" s="2" t="s">
        <v>22322</v>
      </c>
      <c r="C71" s="2"/>
      <c r="D71" s="2" t="s">
        <v>22119</v>
      </c>
      <c r="E71" s="2" t="s">
        <v>22120</v>
      </c>
      <c r="F71" s="2" t="s">
        <v>22167</v>
      </c>
      <c r="G71" s="2" t="s">
        <v>22132</v>
      </c>
      <c r="H71" s="2" t="s">
        <v>22133</v>
      </c>
      <c r="I71" s="8" t="s">
        <v>96</v>
      </c>
      <c r="J71" s="2" t="s">
        <v>22323</v>
      </c>
      <c r="K71" s="2"/>
      <c r="L71" s="2" t="s">
        <v>22122</v>
      </c>
      <c r="M71" s="2" t="s">
        <v>72</v>
      </c>
      <c r="N71" s="2" t="s">
        <v>1669</v>
      </c>
      <c r="O71" s="2" t="s">
        <v>816</v>
      </c>
      <c r="P71" s="2" t="s">
        <v>2711</v>
      </c>
    </row>
    <row r="72" spans="1:16" ht="13.2" customHeight="1" x14ac:dyDescent="0.25">
      <c r="A72" s="8" t="s">
        <v>10488</v>
      </c>
      <c r="B72" s="2" t="s">
        <v>22324</v>
      </c>
      <c r="C72" s="2"/>
      <c r="D72" s="2" t="s">
        <v>22132</v>
      </c>
      <c r="E72" s="2" t="s">
        <v>22133</v>
      </c>
      <c r="F72" s="2" t="s">
        <v>22134</v>
      </c>
      <c r="G72" s="2" t="s">
        <v>22135</v>
      </c>
      <c r="H72" s="2" t="s">
        <v>22171</v>
      </c>
      <c r="I72" s="8" t="s">
        <v>113</v>
      </c>
      <c r="J72" s="2" t="s">
        <v>22325</v>
      </c>
      <c r="K72" s="2"/>
      <c r="L72" s="2" t="s">
        <v>22202</v>
      </c>
      <c r="M72" s="2" t="s">
        <v>72</v>
      </c>
      <c r="N72" s="2" t="s">
        <v>3900</v>
      </c>
      <c r="O72" s="2" t="s">
        <v>816</v>
      </c>
      <c r="P72" s="2" t="s">
        <v>2711</v>
      </c>
    </row>
    <row r="73" spans="1:16" ht="13.2" customHeight="1" x14ac:dyDescent="0.25">
      <c r="A73" s="8" t="s">
        <v>10491</v>
      </c>
      <c r="B73" s="2" t="s">
        <v>22326</v>
      </c>
      <c r="C73" s="2"/>
      <c r="D73" s="2" t="s">
        <v>22135</v>
      </c>
      <c r="E73" s="2" t="s">
        <v>22171</v>
      </c>
      <c r="F73" s="2" t="s">
        <v>22172</v>
      </c>
      <c r="G73" s="2" t="s">
        <v>22175</v>
      </c>
      <c r="H73" s="2" t="s">
        <v>22119</v>
      </c>
      <c r="I73" s="8" t="s">
        <v>84</v>
      </c>
      <c r="J73" s="2" t="s">
        <v>22306</v>
      </c>
      <c r="K73" s="2"/>
      <c r="L73" s="2" t="s">
        <v>22077</v>
      </c>
      <c r="M73" s="2" t="s">
        <v>72</v>
      </c>
      <c r="N73" s="2" t="s">
        <v>1669</v>
      </c>
      <c r="O73" s="2" t="s">
        <v>816</v>
      </c>
      <c r="P73" s="2" t="s">
        <v>2711</v>
      </c>
    </row>
    <row r="74" spans="1:16" ht="13.2" customHeight="1" x14ac:dyDescent="0.25">
      <c r="A74" s="8" t="s">
        <v>10494</v>
      </c>
      <c r="B74" s="2" t="s">
        <v>22327</v>
      </c>
      <c r="C74" s="2"/>
      <c r="D74" s="2" t="s">
        <v>22175</v>
      </c>
      <c r="E74" s="2" t="s">
        <v>22119</v>
      </c>
      <c r="F74" s="2" t="s">
        <v>22120</v>
      </c>
      <c r="G74" s="2" t="s">
        <v>22167</v>
      </c>
      <c r="H74" s="2" t="s">
        <v>22132</v>
      </c>
      <c r="I74" s="8" t="s">
        <v>90</v>
      </c>
      <c r="J74" s="2" t="s">
        <v>22328</v>
      </c>
      <c r="K74" s="2"/>
      <c r="L74" s="2" t="s">
        <v>22202</v>
      </c>
      <c r="M74" s="2" t="s">
        <v>72</v>
      </c>
      <c r="N74" s="2" t="s">
        <v>3887</v>
      </c>
      <c r="O74" s="2" t="s">
        <v>816</v>
      </c>
      <c r="P74" s="2" t="s">
        <v>2711</v>
      </c>
    </row>
    <row r="75" spans="1:16" ht="13.2" customHeight="1" x14ac:dyDescent="0.25">
      <c r="A75" s="8" t="s">
        <v>10497</v>
      </c>
      <c r="B75" s="2" t="s">
        <v>22329</v>
      </c>
      <c r="C75" s="2"/>
      <c r="D75" s="2" t="s">
        <v>22330</v>
      </c>
      <c r="E75" s="2" t="s">
        <v>22331</v>
      </c>
      <c r="F75" s="2" t="s">
        <v>22332</v>
      </c>
      <c r="G75" s="2" t="s">
        <v>22333</v>
      </c>
      <c r="H75" s="2" t="s">
        <v>22334</v>
      </c>
      <c r="I75" s="8" t="s">
        <v>113</v>
      </c>
      <c r="J75" s="2" t="s">
        <v>22335</v>
      </c>
      <c r="K75" s="2"/>
      <c r="L75" s="2" t="s">
        <v>22202</v>
      </c>
      <c r="M75" s="2" t="s">
        <v>72</v>
      </c>
      <c r="N75" s="2" t="s">
        <v>22336</v>
      </c>
      <c r="O75" s="2" t="s">
        <v>816</v>
      </c>
      <c r="P75" s="2" t="s">
        <v>2711</v>
      </c>
    </row>
    <row r="76" spans="1:16" ht="13.2" customHeight="1" x14ac:dyDescent="0.25">
      <c r="A76" s="2">
        <v>130</v>
      </c>
      <c r="B76" s="2" t="s">
        <v>22337</v>
      </c>
      <c r="C76" s="2"/>
      <c r="D76" s="2" t="s">
        <v>22338</v>
      </c>
      <c r="E76" s="2" t="s">
        <v>22339</v>
      </c>
      <c r="F76" s="2" t="s">
        <v>22340</v>
      </c>
      <c r="G76" s="2" t="s">
        <v>22341</v>
      </c>
      <c r="H76" s="2" t="s">
        <v>22342</v>
      </c>
      <c r="I76" s="8" t="s">
        <v>84</v>
      </c>
      <c r="J76" s="2" t="s">
        <v>22343</v>
      </c>
      <c r="K76" s="2"/>
      <c r="L76" s="2" t="s">
        <v>22149</v>
      </c>
      <c r="M76" s="2" t="s">
        <v>72</v>
      </c>
      <c r="N76" s="2" t="s">
        <v>22344</v>
      </c>
      <c r="O76" s="2" t="s">
        <v>164</v>
      </c>
      <c r="P76" s="2" t="s">
        <v>1865</v>
      </c>
    </row>
    <row r="77" spans="1:16" ht="13.2" x14ac:dyDescent="0.25">
      <c r="A77">
        <v>131</v>
      </c>
      <c r="B77" t="s">
        <v>22345</v>
      </c>
      <c r="D77" t="s">
        <v>22346</v>
      </c>
      <c r="E77" t="s">
        <v>22347</v>
      </c>
      <c r="F77" t="s">
        <v>22348</v>
      </c>
      <c r="G77" t="s">
        <v>22349</v>
      </c>
      <c r="H77" t="s">
        <v>799</v>
      </c>
      <c r="I77" t="s">
        <v>84</v>
      </c>
      <c r="J77" t="s">
        <v>22350</v>
      </c>
      <c r="L77" t="s">
        <v>1645</v>
      </c>
      <c r="M77" t="s">
        <v>29</v>
      </c>
      <c r="N77" t="s">
        <v>22351</v>
      </c>
    </row>
    <row r="78" spans="1:16" ht="13.2" x14ac:dyDescent="0.25">
      <c r="A78">
        <v>132</v>
      </c>
      <c r="B78" t="s">
        <v>22352</v>
      </c>
      <c r="D78" t="s">
        <v>22353</v>
      </c>
      <c r="E78" t="s">
        <v>22354</v>
      </c>
      <c r="F78" t="s">
        <v>2274</v>
      </c>
      <c r="G78" t="s">
        <v>2275</v>
      </c>
      <c r="H78" t="s">
        <v>22355</v>
      </c>
      <c r="I78" t="s">
        <v>84</v>
      </c>
      <c r="J78" t="s">
        <v>22356</v>
      </c>
      <c r="L78" t="s">
        <v>1645</v>
      </c>
      <c r="M78" t="s">
        <v>29</v>
      </c>
      <c r="N78" t="s">
        <v>5047</v>
      </c>
    </row>
  </sheetData>
  <mergeCells count="1">
    <mergeCell ref="A1:F1"/>
  </mergeCell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G13"/>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7" ht="26.25" customHeight="1" x14ac:dyDescent="0.25">
      <c r="A1" s="48" t="str">
        <f>HYPERLINK("#gid=0", "🏠 กลับสู่หน้าแรก (Go to Home Page)")</f>
        <v>🏠 กลับสู่หน้าแรก (Go to Home Page)</v>
      </c>
      <c r="B1" s="49"/>
      <c r="C1" s="49"/>
      <c r="D1" s="49"/>
      <c r="E1" s="49"/>
      <c r="F1" s="49"/>
      <c r="G1" s="49"/>
    </row>
    <row r="2" spans="1:7" ht="21.6" customHeight="1" x14ac:dyDescent="0.25">
      <c r="A2" s="3" t="s">
        <v>22357</v>
      </c>
      <c r="B2" s="3" t="s">
        <v>22358</v>
      </c>
      <c r="C2" s="3" t="s">
        <v>22359</v>
      </c>
      <c r="D2" s="3" t="s">
        <v>22360</v>
      </c>
      <c r="E2" s="3" t="s">
        <v>22361</v>
      </c>
      <c r="F2" s="3" t="s">
        <v>22362</v>
      </c>
      <c r="G2" s="3" t="s">
        <v>22363</v>
      </c>
    </row>
    <row r="3" spans="1:7" ht="13.2" customHeight="1" x14ac:dyDescent="0.25">
      <c r="A3" s="2" t="s">
        <v>22364</v>
      </c>
      <c r="B3" s="2" t="s">
        <v>22365</v>
      </c>
      <c r="C3" s="2">
        <v>17</v>
      </c>
      <c r="D3" s="2">
        <v>5</v>
      </c>
      <c r="E3" s="4">
        <v>0.28999999999999998</v>
      </c>
      <c r="F3" s="2">
        <v>1</v>
      </c>
      <c r="G3" s="2" t="s">
        <v>22366</v>
      </c>
    </row>
    <row r="4" spans="1:7" ht="13.2" customHeight="1" x14ac:dyDescent="0.25">
      <c r="A4" s="2" t="s">
        <v>22367</v>
      </c>
      <c r="B4" s="2" t="s">
        <v>152</v>
      </c>
      <c r="C4" s="2">
        <v>33</v>
      </c>
      <c r="D4" s="2">
        <v>26</v>
      </c>
      <c r="E4" s="4">
        <v>0.79</v>
      </c>
      <c r="F4" s="2">
        <v>1</v>
      </c>
      <c r="G4" s="2" t="s">
        <v>22368</v>
      </c>
    </row>
    <row r="5" spans="1:7" ht="13.2" customHeight="1" x14ac:dyDescent="0.25">
      <c r="A5" s="2" t="s">
        <v>22369</v>
      </c>
      <c r="B5" s="2" t="s">
        <v>22370</v>
      </c>
      <c r="C5" s="2">
        <v>0</v>
      </c>
      <c r="D5" s="2">
        <v>0</v>
      </c>
      <c r="E5" s="4">
        <v>0</v>
      </c>
      <c r="F5" s="2">
        <v>1</v>
      </c>
      <c r="G5" s="2" t="s">
        <v>22371</v>
      </c>
    </row>
    <row r="6" spans="1:7" ht="13.2" customHeight="1" x14ac:dyDescent="0.25">
      <c r="A6" s="2">
        <v>6531014833</v>
      </c>
      <c r="B6" s="2" t="s">
        <v>22372</v>
      </c>
      <c r="C6" s="2">
        <v>0</v>
      </c>
      <c r="D6" s="2">
        <v>0</v>
      </c>
      <c r="E6" s="4">
        <v>0</v>
      </c>
      <c r="F6" s="2">
        <v>1</v>
      </c>
      <c r="G6" s="2" t="s">
        <v>22373</v>
      </c>
    </row>
    <row r="7" spans="1:7" ht="13.2" customHeight="1" x14ac:dyDescent="0.25">
      <c r="A7" s="2" t="s">
        <v>22374</v>
      </c>
      <c r="B7" s="2" t="s">
        <v>22375</v>
      </c>
      <c r="C7" s="2">
        <v>0</v>
      </c>
      <c r="D7" s="2">
        <v>0</v>
      </c>
      <c r="E7" s="4">
        <v>0</v>
      </c>
      <c r="F7" s="2">
        <v>1</v>
      </c>
      <c r="G7" s="2" t="s">
        <v>22376</v>
      </c>
    </row>
    <row r="8" spans="1:7" ht="13.2" customHeight="1" x14ac:dyDescent="0.25">
      <c r="A8" s="2">
        <v>6531024033</v>
      </c>
      <c r="B8" s="2">
        <v>6531024033</v>
      </c>
      <c r="C8" s="2">
        <v>9</v>
      </c>
      <c r="D8" s="2">
        <v>5</v>
      </c>
      <c r="E8" s="4">
        <v>0.56000000000000005</v>
      </c>
      <c r="F8" s="2">
        <v>1</v>
      </c>
      <c r="G8" s="2" t="s">
        <v>22377</v>
      </c>
    </row>
    <row r="9" spans="1:7" ht="13.2" customHeight="1" x14ac:dyDescent="0.25">
      <c r="E9" s="4"/>
    </row>
    <row r="10" spans="1:7" ht="13.2" customHeight="1" x14ac:dyDescent="0.25">
      <c r="E10" s="4"/>
    </row>
    <row r="11" spans="1:7" ht="13.2" customHeight="1" x14ac:dyDescent="0.25">
      <c r="E11" s="4"/>
    </row>
    <row r="12" spans="1:7" ht="13.2" customHeight="1" x14ac:dyDescent="0.25">
      <c r="E12" s="4"/>
    </row>
    <row r="13" spans="1:7" ht="13.2" customHeight="1" x14ac:dyDescent="0.25">
      <c r="E13" s="4"/>
    </row>
  </sheetData>
  <mergeCells count="1">
    <mergeCell ref="A1:G1"/>
  </mergeCell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G7"/>
  <sheetViews>
    <sheetView workbookViewId="0">
      <pane ySplit="2" topLeftCell="A3" activePane="bottomLeft" state="frozen"/>
      <selection pane="bottomLeft" activeCell="B4" sqref="B4"/>
    </sheetView>
  </sheetViews>
  <sheetFormatPr defaultColWidth="12.6640625" defaultRowHeight="15.75" customHeight="1" x14ac:dyDescent="0.25"/>
  <sheetData>
    <row r="1" spans="1:7" ht="26.25" customHeight="1" x14ac:dyDescent="0.25">
      <c r="A1" s="53" t="str">
        <f>HYPERLINK("#gid=0", "🏠 กลับสู่หน้าแรก (Go to Home Page)")</f>
        <v>🏠 กลับสู่หน้าแรก (Go to Home Page)</v>
      </c>
      <c r="B1" s="49"/>
      <c r="C1" s="49"/>
      <c r="D1" s="49"/>
      <c r="E1" s="49"/>
      <c r="F1" s="49"/>
      <c r="G1" s="49"/>
    </row>
    <row r="2" spans="1:7" ht="21.6" customHeight="1" x14ac:dyDescent="0.25">
      <c r="A2" s="26" t="s">
        <v>22378</v>
      </c>
      <c r="B2" s="26" t="s">
        <v>141</v>
      </c>
      <c r="C2" s="26" t="s">
        <v>22357</v>
      </c>
      <c r="D2" s="26" t="s">
        <v>22358</v>
      </c>
      <c r="E2" s="26" t="s">
        <v>22379</v>
      </c>
      <c r="F2" s="26" t="s">
        <v>22380</v>
      </c>
      <c r="G2" s="26" t="s">
        <v>22381</v>
      </c>
    </row>
    <row r="3" spans="1:7" ht="13.2" customHeight="1" x14ac:dyDescent="0.25">
      <c r="A3" s="2" t="s">
        <v>22382</v>
      </c>
      <c r="B3" s="2" t="s">
        <v>22383</v>
      </c>
      <c r="C3" s="2" t="s">
        <v>22364</v>
      </c>
      <c r="D3" s="2" t="s">
        <v>22365</v>
      </c>
      <c r="E3" s="2" t="s">
        <v>22384</v>
      </c>
      <c r="G3" s="2" t="s">
        <v>29</v>
      </c>
    </row>
    <row r="4" spans="1:7" ht="13.2" customHeight="1" x14ac:dyDescent="0.25">
      <c r="A4" s="2" t="s">
        <v>22385</v>
      </c>
      <c r="B4" s="2" t="s">
        <v>22386</v>
      </c>
      <c r="C4" s="2" t="s">
        <v>22364</v>
      </c>
      <c r="D4" s="2" t="s">
        <v>22365</v>
      </c>
      <c r="E4" s="2" t="s">
        <v>22387</v>
      </c>
      <c r="F4" s="2" t="s">
        <v>22382</v>
      </c>
      <c r="G4" s="2" t="s">
        <v>36</v>
      </c>
    </row>
    <row r="5" spans="1:7" ht="13.2" customHeight="1" x14ac:dyDescent="0.25">
      <c r="A5" s="2" t="s">
        <v>22388</v>
      </c>
      <c r="B5" s="2" t="s">
        <v>22389</v>
      </c>
      <c r="C5" s="2" t="s">
        <v>22390</v>
      </c>
      <c r="D5" s="2" t="s">
        <v>149</v>
      </c>
      <c r="E5" s="2" t="s">
        <v>22391</v>
      </c>
      <c r="F5" s="2" t="s">
        <v>22385</v>
      </c>
      <c r="G5" s="2" t="s">
        <v>29</v>
      </c>
    </row>
    <row r="6" spans="1:7" ht="13.2" customHeight="1" x14ac:dyDescent="0.25">
      <c r="A6" s="2" t="s">
        <v>22392</v>
      </c>
      <c r="B6" s="2" t="s">
        <v>22393</v>
      </c>
      <c r="C6" s="2" t="s">
        <v>22364</v>
      </c>
      <c r="D6" s="2" t="s">
        <v>22365</v>
      </c>
      <c r="E6" s="2" t="s">
        <v>22394</v>
      </c>
      <c r="G6" s="2" t="s">
        <v>29</v>
      </c>
    </row>
    <row r="7" spans="1:7" ht="13.2" customHeight="1" x14ac:dyDescent="0.25">
      <c r="A7" s="2" t="s">
        <v>22395</v>
      </c>
      <c r="B7" s="2" t="s">
        <v>22396</v>
      </c>
      <c r="C7" s="2" t="s">
        <v>22364</v>
      </c>
      <c r="D7" s="2" t="s">
        <v>22365</v>
      </c>
      <c r="E7" s="2" t="s">
        <v>22397</v>
      </c>
      <c r="G7" s="2" t="s">
        <v>36</v>
      </c>
    </row>
  </sheetData>
  <mergeCells count="1">
    <mergeCell ref="A1:G1"/>
  </mergeCell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1000"/>
  <sheetViews>
    <sheetView workbookViewId="0">
      <pane ySplit="2" topLeftCell="A3" activePane="bottomLeft" state="frozen"/>
      <selection pane="bottomLeft" activeCell="B4" sqref="B4"/>
    </sheetView>
  </sheetViews>
  <sheetFormatPr defaultColWidth="12.6640625" defaultRowHeight="15.75" customHeight="1" x14ac:dyDescent="0.25"/>
  <cols>
    <col min="1" max="1" width="20.109375" customWidth="1"/>
    <col min="2" max="2" width="16.33203125" customWidth="1"/>
    <col min="3" max="3" width="20.109375" customWidth="1"/>
    <col min="4" max="4" width="15.109375" customWidth="1"/>
    <col min="5" max="5" width="32.6640625" customWidth="1"/>
    <col min="6" max="6" width="18.88671875" customWidth="1"/>
    <col min="7" max="7" width="32.6640625" customWidth="1"/>
    <col min="8" max="8" width="23.88671875" customWidth="1"/>
  </cols>
  <sheetData>
    <row r="1" spans="1:8" ht="26.25" customHeight="1" x14ac:dyDescent="0.25">
      <c r="A1" s="54" t="s">
        <v>22398</v>
      </c>
      <c r="B1" s="49"/>
      <c r="C1" s="49"/>
      <c r="D1" s="49"/>
      <c r="E1" s="49"/>
      <c r="F1" s="49"/>
      <c r="G1" s="49"/>
      <c r="H1" s="49"/>
    </row>
    <row r="2" spans="1:8" ht="21.6" customHeight="1" x14ac:dyDescent="0.25">
      <c r="A2" s="27" t="s">
        <v>22399</v>
      </c>
      <c r="B2" s="27" t="s">
        <v>22400</v>
      </c>
      <c r="C2" s="27" t="s">
        <v>22401</v>
      </c>
      <c r="D2" s="27" t="s">
        <v>22402</v>
      </c>
      <c r="E2" s="27" t="s">
        <v>22403</v>
      </c>
      <c r="F2" s="27" t="s">
        <v>22404</v>
      </c>
      <c r="G2" s="27" t="s">
        <v>22405</v>
      </c>
      <c r="H2" s="27" t="s">
        <v>22406</v>
      </c>
    </row>
    <row r="3" spans="1:8" ht="21.6" customHeight="1" x14ac:dyDescent="0.25">
      <c r="A3" s="2" t="s">
        <v>22407</v>
      </c>
      <c r="B3" s="2" t="s">
        <v>149</v>
      </c>
      <c r="C3" s="2" t="s">
        <v>41</v>
      </c>
      <c r="D3" s="2" t="s">
        <v>22408</v>
      </c>
      <c r="E3" s="2" t="s">
        <v>5103</v>
      </c>
      <c r="F3" s="2" t="s">
        <v>22409</v>
      </c>
      <c r="G3" s="2" t="s">
        <v>22410</v>
      </c>
      <c r="H3" s="28" t="s">
        <v>22411</v>
      </c>
    </row>
    <row r="4" spans="1:8" ht="21.6" customHeight="1" x14ac:dyDescent="0.25">
      <c r="A4" s="2" t="s">
        <v>22412</v>
      </c>
      <c r="B4" s="2" t="s">
        <v>149</v>
      </c>
      <c r="C4" s="2" t="s">
        <v>41</v>
      </c>
      <c r="D4" s="2" t="s">
        <v>22413</v>
      </c>
      <c r="E4" s="2" t="s">
        <v>4413</v>
      </c>
      <c r="F4" s="2" t="s">
        <v>22409</v>
      </c>
      <c r="G4" s="2" t="s">
        <v>22414</v>
      </c>
      <c r="H4" s="28" t="s">
        <v>22411</v>
      </c>
    </row>
    <row r="5" spans="1:8" ht="21.6" customHeight="1" x14ac:dyDescent="0.25">
      <c r="A5" s="2" t="s">
        <v>22415</v>
      </c>
      <c r="B5" s="2" t="s">
        <v>149</v>
      </c>
      <c r="C5" s="2" t="s">
        <v>56</v>
      </c>
      <c r="D5" s="2" t="s">
        <v>22416</v>
      </c>
      <c r="E5" s="2" t="s">
        <v>22417</v>
      </c>
      <c r="F5" s="2" t="s">
        <v>22409</v>
      </c>
      <c r="G5" s="2" t="s">
        <v>22418</v>
      </c>
      <c r="H5" s="28" t="s">
        <v>22411</v>
      </c>
    </row>
    <row r="6" spans="1:8" ht="21.6" customHeight="1" x14ac:dyDescent="0.25">
      <c r="A6" s="2" t="s">
        <v>22419</v>
      </c>
      <c r="B6" s="2" t="s">
        <v>152</v>
      </c>
      <c r="C6" s="2" t="s">
        <v>153</v>
      </c>
      <c r="D6" s="2" t="s">
        <v>22420</v>
      </c>
      <c r="E6" s="2" t="s">
        <v>22421</v>
      </c>
      <c r="F6" s="2" t="s">
        <v>22409</v>
      </c>
      <c r="G6" s="2" t="s">
        <v>22422</v>
      </c>
      <c r="H6" s="28" t="s">
        <v>22411</v>
      </c>
    </row>
    <row r="7" spans="1:8" ht="21.6" customHeight="1" x14ac:dyDescent="0.25">
      <c r="A7" s="2" t="s">
        <v>22423</v>
      </c>
      <c r="B7" s="2" t="s">
        <v>152</v>
      </c>
      <c r="C7" s="2" t="s">
        <v>153</v>
      </c>
      <c r="D7" s="2" t="s">
        <v>22424</v>
      </c>
      <c r="E7" s="2" t="s">
        <v>22425</v>
      </c>
      <c r="F7" s="2" t="s">
        <v>22409</v>
      </c>
      <c r="G7" s="2" t="s">
        <v>22426</v>
      </c>
      <c r="H7" s="28" t="s">
        <v>22411</v>
      </c>
    </row>
    <row r="8" spans="1:8" ht="21.6" customHeight="1" x14ac:dyDescent="0.25">
      <c r="A8" s="2" t="s">
        <v>22427</v>
      </c>
      <c r="B8" s="2" t="s">
        <v>152</v>
      </c>
      <c r="C8" s="2" t="s">
        <v>153</v>
      </c>
      <c r="D8" s="2" t="s">
        <v>22428</v>
      </c>
      <c r="E8" s="2" t="s">
        <v>22429</v>
      </c>
      <c r="F8" s="2" t="s">
        <v>22409</v>
      </c>
      <c r="G8" s="2" t="s">
        <v>22430</v>
      </c>
      <c r="H8" s="28" t="s">
        <v>22411</v>
      </c>
    </row>
    <row r="9" spans="1:8" ht="21.6" customHeight="1" x14ac:dyDescent="0.25">
      <c r="A9" s="2" t="s">
        <v>22431</v>
      </c>
      <c r="B9" s="2" t="s">
        <v>22365</v>
      </c>
      <c r="C9" s="2" t="s">
        <v>39</v>
      </c>
      <c r="D9" s="2" t="s">
        <v>22432</v>
      </c>
      <c r="E9" s="2" t="s">
        <v>22433</v>
      </c>
      <c r="F9" s="2" t="s">
        <v>22434</v>
      </c>
      <c r="G9" s="2" t="s">
        <v>22435</v>
      </c>
      <c r="H9" s="28" t="s">
        <v>22411</v>
      </c>
    </row>
    <row r="10" spans="1:8" ht="21.6" customHeight="1" x14ac:dyDescent="0.25">
      <c r="A10" s="2" t="s">
        <v>22436</v>
      </c>
      <c r="B10" s="2" t="s">
        <v>149</v>
      </c>
      <c r="C10" s="2" t="s">
        <v>67</v>
      </c>
      <c r="D10" s="2" t="s">
        <v>22437</v>
      </c>
      <c r="E10" s="2" t="s">
        <v>22438</v>
      </c>
      <c r="F10" s="2" t="s">
        <v>22439</v>
      </c>
      <c r="G10" s="2" t="s">
        <v>22414</v>
      </c>
      <c r="H10" s="28" t="s">
        <v>22411</v>
      </c>
    </row>
    <row r="11" spans="1:8" ht="21.6" customHeight="1" x14ac:dyDescent="0.25">
      <c r="A11" s="2" t="s">
        <v>22440</v>
      </c>
      <c r="B11" s="2" t="s">
        <v>149</v>
      </c>
      <c r="C11" s="2" t="s">
        <v>40</v>
      </c>
      <c r="D11" s="2" t="s">
        <v>22441</v>
      </c>
      <c r="E11" s="2" t="s">
        <v>22442</v>
      </c>
      <c r="F11" s="2" t="s">
        <v>22434</v>
      </c>
      <c r="G11" s="2" t="s">
        <v>22443</v>
      </c>
      <c r="H11" s="28" t="s">
        <v>22411</v>
      </c>
    </row>
    <row r="12" spans="1:8" ht="21.6" customHeight="1" x14ac:dyDescent="0.25">
      <c r="A12" s="2" t="s">
        <v>22444</v>
      </c>
      <c r="B12" s="2" t="s">
        <v>22365</v>
      </c>
      <c r="C12" s="2" t="s">
        <v>39</v>
      </c>
      <c r="D12" s="2" t="s">
        <v>22445</v>
      </c>
      <c r="E12" s="2" t="s">
        <v>22433</v>
      </c>
      <c r="F12" s="2" t="s">
        <v>22434</v>
      </c>
      <c r="G12" s="2" t="s">
        <v>22446</v>
      </c>
      <c r="H12" s="28" t="s">
        <v>22411</v>
      </c>
    </row>
    <row r="13" spans="1:8" ht="21.6" customHeight="1" x14ac:dyDescent="0.25">
      <c r="A13" s="2" t="s">
        <v>22447</v>
      </c>
      <c r="B13" s="2" t="s">
        <v>149</v>
      </c>
      <c r="C13" s="2" t="s">
        <v>36</v>
      </c>
      <c r="D13" s="2" t="s">
        <v>22448</v>
      </c>
      <c r="E13" s="2" t="s">
        <v>22449</v>
      </c>
      <c r="F13" s="2" t="s">
        <v>22434</v>
      </c>
      <c r="G13" s="2" t="s">
        <v>22450</v>
      </c>
      <c r="H13" s="28" t="s">
        <v>22411</v>
      </c>
    </row>
    <row r="14" spans="1:8" ht="21.6" customHeight="1" x14ac:dyDescent="0.25">
      <c r="A14" s="2" t="s">
        <v>22451</v>
      </c>
      <c r="B14" s="2" t="s">
        <v>22365</v>
      </c>
      <c r="C14" s="2" t="s">
        <v>61</v>
      </c>
      <c r="D14" s="2" t="s">
        <v>22452</v>
      </c>
      <c r="E14" s="2" t="s">
        <v>22453</v>
      </c>
      <c r="F14" s="2" t="s">
        <v>22434</v>
      </c>
      <c r="G14" s="2" t="s">
        <v>22454</v>
      </c>
      <c r="H14" s="28" t="s">
        <v>22411</v>
      </c>
    </row>
    <row r="15" spans="1:8" ht="21.6" customHeight="1" x14ac:dyDescent="0.25">
      <c r="A15" s="2" t="s">
        <v>22455</v>
      </c>
      <c r="B15" s="2" t="s">
        <v>22365</v>
      </c>
      <c r="C15" s="2" t="s">
        <v>61</v>
      </c>
      <c r="D15" s="2" t="s">
        <v>22452</v>
      </c>
      <c r="E15" s="2" t="s">
        <v>22453</v>
      </c>
      <c r="F15" s="2" t="s">
        <v>22409</v>
      </c>
      <c r="G15" s="2" t="s">
        <v>22456</v>
      </c>
      <c r="H15" s="28" t="s">
        <v>22411</v>
      </c>
    </row>
    <row r="16" spans="1:8" ht="21.6" customHeight="1" x14ac:dyDescent="0.25">
      <c r="A16" s="2" t="s">
        <v>22457</v>
      </c>
      <c r="B16" s="2" t="s">
        <v>149</v>
      </c>
      <c r="C16" s="2" t="s">
        <v>39</v>
      </c>
      <c r="D16" s="2" t="s">
        <v>22458</v>
      </c>
      <c r="E16" s="2" t="s">
        <v>22459</v>
      </c>
      <c r="F16" s="2" t="s">
        <v>22409</v>
      </c>
      <c r="G16" s="2" t="s">
        <v>22460</v>
      </c>
      <c r="H16" s="28" t="s">
        <v>22411</v>
      </c>
    </row>
    <row r="17" spans="1:8" ht="21.6" customHeight="1" x14ac:dyDescent="0.25">
      <c r="A17" s="2" t="s">
        <v>22461</v>
      </c>
      <c r="B17" s="2" t="s">
        <v>149</v>
      </c>
      <c r="C17" s="2" t="s">
        <v>22462</v>
      </c>
      <c r="D17" s="2" t="s">
        <v>22463</v>
      </c>
      <c r="E17" s="2" t="s">
        <v>22464</v>
      </c>
      <c r="F17" s="2" t="s">
        <v>22409</v>
      </c>
      <c r="G17" s="2" t="s">
        <v>22465</v>
      </c>
      <c r="H17" s="28" t="s">
        <v>22411</v>
      </c>
    </row>
    <row r="18" spans="1:8" ht="21.6" customHeight="1" x14ac:dyDescent="0.25">
      <c r="H18" s="28"/>
    </row>
    <row r="19" spans="1:8" ht="21.6" customHeight="1" x14ac:dyDescent="0.25">
      <c r="H19" s="28"/>
    </row>
    <row r="20" spans="1:8" ht="21.6" customHeight="1" x14ac:dyDescent="0.25">
      <c r="H20" s="28"/>
    </row>
    <row r="21" spans="1:8" ht="21.6" customHeight="1" x14ac:dyDescent="0.25">
      <c r="H21" s="28"/>
    </row>
    <row r="22" spans="1:8" ht="21.6" customHeight="1" x14ac:dyDescent="0.25">
      <c r="H22" s="28"/>
    </row>
    <row r="23" spans="1:8" ht="21.6" customHeight="1" x14ac:dyDescent="0.25">
      <c r="H23" s="28"/>
    </row>
    <row r="24" spans="1:8" ht="21.6" customHeight="1" x14ac:dyDescent="0.25">
      <c r="H24" s="28"/>
    </row>
    <row r="25" spans="1:8" ht="21.6" customHeight="1" x14ac:dyDescent="0.25">
      <c r="H25" s="28"/>
    </row>
    <row r="26" spans="1:8" ht="21.6" customHeight="1" x14ac:dyDescent="0.25">
      <c r="H26" s="28"/>
    </row>
    <row r="27" spans="1:8" ht="21.6" customHeight="1" x14ac:dyDescent="0.25">
      <c r="H27" s="28"/>
    </row>
    <row r="28" spans="1:8" ht="21.6" customHeight="1" x14ac:dyDescent="0.25">
      <c r="H28" s="28"/>
    </row>
    <row r="29" spans="1:8" ht="21.6" customHeight="1" x14ac:dyDescent="0.25">
      <c r="H29" s="28"/>
    </row>
    <row r="30" spans="1:8" ht="21.6" customHeight="1" x14ac:dyDescent="0.25">
      <c r="H30" s="28"/>
    </row>
    <row r="31" spans="1:8" ht="21.6" customHeight="1" x14ac:dyDescent="0.25">
      <c r="H31" s="28"/>
    </row>
    <row r="32" spans="1:8" ht="21.6" customHeight="1" x14ac:dyDescent="0.25">
      <c r="H32" s="28"/>
    </row>
    <row r="33" spans="8:8" ht="21.6" customHeight="1" x14ac:dyDescent="0.25">
      <c r="H33" s="28"/>
    </row>
    <row r="34" spans="8:8" ht="21.6" customHeight="1" x14ac:dyDescent="0.25">
      <c r="H34" s="28"/>
    </row>
    <row r="35" spans="8:8" ht="21.6" customHeight="1" x14ac:dyDescent="0.25">
      <c r="H35" s="28"/>
    </row>
    <row r="36" spans="8:8" ht="21.6" customHeight="1" x14ac:dyDescent="0.25">
      <c r="H36" s="28"/>
    </row>
    <row r="37" spans="8:8" ht="21.6" customHeight="1" x14ac:dyDescent="0.25">
      <c r="H37" s="28"/>
    </row>
    <row r="38" spans="8:8" ht="21.6" customHeight="1" x14ac:dyDescent="0.25">
      <c r="H38" s="28"/>
    </row>
    <row r="39" spans="8:8" ht="21.6" customHeight="1" x14ac:dyDescent="0.25">
      <c r="H39" s="28"/>
    </row>
    <row r="40" spans="8:8" ht="21.6" customHeight="1" x14ac:dyDescent="0.25">
      <c r="H40" s="28"/>
    </row>
    <row r="41" spans="8:8" ht="21.6" customHeight="1" x14ac:dyDescent="0.25">
      <c r="H41" s="28"/>
    </row>
    <row r="42" spans="8:8" ht="21.6" customHeight="1" x14ac:dyDescent="0.25">
      <c r="H42" s="28"/>
    </row>
    <row r="43" spans="8:8" ht="21.6" customHeight="1" x14ac:dyDescent="0.25">
      <c r="H43" s="28"/>
    </row>
    <row r="44" spans="8:8" ht="21.6" customHeight="1" x14ac:dyDescent="0.25">
      <c r="H44" s="28"/>
    </row>
    <row r="45" spans="8:8" ht="21.6" customHeight="1" x14ac:dyDescent="0.25">
      <c r="H45" s="28"/>
    </row>
    <row r="46" spans="8:8" ht="21.6" customHeight="1" x14ac:dyDescent="0.25">
      <c r="H46" s="28"/>
    </row>
    <row r="47" spans="8:8" ht="21.6" customHeight="1" x14ac:dyDescent="0.25">
      <c r="H47" s="28"/>
    </row>
    <row r="48" spans="8:8" ht="21.6" customHeight="1" x14ac:dyDescent="0.25">
      <c r="H48" s="28"/>
    </row>
    <row r="49" spans="8:8" ht="21.6" customHeight="1" x14ac:dyDescent="0.25">
      <c r="H49" s="28"/>
    </row>
    <row r="50" spans="8:8" ht="21.6" customHeight="1" x14ac:dyDescent="0.25">
      <c r="H50" s="28"/>
    </row>
    <row r="51" spans="8:8" ht="21.6" customHeight="1" x14ac:dyDescent="0.25">
      <c r="H51" s="28"/>
    </row>
    <row r="52" spans="8:8" ht="21.6" customHeight="1" x14ac:dyDescent="0.25">
      <c r="H52" s="28"/>
    </row>
    <row r="53" spans="8:8" ht="21.6" customHeight="1" x14ac:dyDescent="0.25">
      <c r="H53" s="28"/>
    </row>
    <row r="54" spans="8:8" ht="21.6" customHeight="1" x14ac:dyDescent="0.25">
      <c r="H54" s="28"/>
    </row>
    <row r="55" spans="8:8" ht="21.6" customHeight="1" x14ac:dyDescent="0.25">
      <c r="H55" s="28"/>
    </row>
    <row r="56" spans="8:8" ht="21.6" customHeight="1" x14ac:dyDescent="0.25">
      <c r="H56" s="28"/>
    </row>
    <row r="57" spans="8:8" ht="21.6" customHeight="1" x14ac:dyDescent="0.25">
      <c r="H57" s="28"/>
    </row>
    <row r="58" spans="8:8" ht="21.6" customHeight="1" x14ac:dyDescent="0.25">
      <c r="H58" s="28"/>
    </row>
    <row r="59" spans="8:8" ht="21.6" customHeight="1" x14ac:dyDescent="0.25">
      <c r="H59" s="28"/>
    </row>
    <row r="60" spans="8:8" ht="21.6" customHeight="1" x14ac:dyDescent="0.25">
      <c r="H60" s="28"/>
    </row>
    <row r="61" spans="8:8" ht="21.6" customHeight="1" x14ac:dyDescent="0.25">
      <c r="H61" s="28"/>
    </row>
    <row r="62" spans="8:8" ht="21.6" customHeight="1" x14ac:dyDescent="0.25">
      <c r="H62" s="28"/>
    </row>
    <row r="63" spans="8:8" ht="21.6" customHeight="1" x14ac:dyDescent="0.25">
      <c r="H63" s="28"/>
    </row>
    <row r="64" spans="8:8" ht="21.6" customHeight="1" x14ac:dyDescent="0.25">
      <c r="H64" s="28"/>
    </row>
    <row r="65" spans="8:8" ht="21.6" customHeight="1" x14ac:dyDescent="0.25">
      <c r="H65" s="28"/>
    </row>
    <row r="66" spans="8:8" ht="21.6" customHeight="1" x14ac:dyDescent="0.25">
      <c r="H66" s="28"/>
    </row>
    <row r="67" spans="8:8" ht="21.6" customHeight="1" x14ac:dyDescent="0.25">
      <c r="H67" s="28"/>
    </row>
    <row r="68" spans="8:8" ht="21.6" customHeight="1" x14ac:dyDescent="0.25">
      <c r="H68" s="28"/>
    </row>
    <row r="69" spans="8:8" ht="21.6" customHeight="1" x14ac:dyDescent="0.25">
      <c r="H69" s="28"/>
    </row>
    <row r="70" spans="8:8" ht="21.6" customHeight="1" x14ac:dyDescent="0.25">
      <c r="H70" s="28"/>
    </row>
    <row r="71" spans="8:8" ht="21.6" customHeight="1" x14ac:dyDescent="0.25">
      <c r="H71" s="28"/>
    </row>
    <row r="72" spans="8:8" ht="21.6" customHeight="1" x14ac:dyDescent="0.25">
      <c r="H72" s="28"/>
    </row>
    <row r="73" spans="8:8" ht="21.6" customHeight="1" x14ac:dyDescent="0.25">
      <c r="H73" s="28"/>
    </row>
    <row r="74" spans="8:8" ht="21.6" customHeight="1" x14ac:dyDescent="0.25">
      <c r="H74" s="28"/>
    </row>
    <row r="75" spans="8:8" ht="21.6" customHeight="1" x14ac:dyDescent="0.25">
      <c r="H75" s="28"/>
    </row>
    <row r="76" spans="8:8" ht="21.6" customHeight="1" x14ac:dyDescent="0.25">
      <c r="H76" s="28"/>
    </row>
    <row r="77" spans="8:8" ht="21.6" customHeight="1" x14ac:dyDescent="0.25">
      <c r="H77" s="28"/>
    </row>
    <row r="78" spans="8:8" ht="21.6" customHeight="1" x14ac:dyDescent="0.25">
      <c r="H78" s="28"/>
    </row>
    <row r="79" spans="8:8" ht="21.6" customHeight="1" x14ac:dyDescent="0.25">
      <c r="H79" s="28"/>
    </row>
    <row r="80" spans="8:8" ht="21.6" customHeight="1" x14ac:dyDescent="0.25">
      <c r="H80" s="28"/>
    </row>
    <row r="81" spans="8:8" ht="21.6" customHeight="1" x14ac:dyDescent="0.25">
      <c r="H81" s="28"/>
    </row>
    <row r="82" spans="8:8" ht="21.6" customHeight="1" x14ac:dyDescent="0.25">
      <c r="H82" s="28"/>
    </row>
    <row r="83" spans="8:8" ht="21.6" customHeight="1" x14ac:dyDescent="0.25">
      <c r="H83" s="28"/>
    </row>
    <row r="84" spans="8:8" ht="21.6" customHeight="1" x14ac:dyDescent="0.25">
      <c r="H84" s="28"/>
    </row>
    <row r="85" spans="8:8" ht="21.6" customHeight="1" x14ac:dyDescent="0.25">
      <c r="H85" s="28"/>
    </row>
    <row r="86" spans="8:8" ht="21.6" customHeight="1" x14ac:dyDescent="0.25">
      <c r="H86" s="28"/>
    </row>
    <row r="87" spans="8:8" ht="21.6" customHeight="1" x14ac:dyDescent="0.25">
      <c r="H87" s="28"/>
    </row>
    <row r="88" spans="8:8" ht="21.6" customHeight="1" x14ac:dyDescent="0.25">
      <c r="H88" s="28"/>
    </row>
    <row r="89" spans="8:8" ht="21.6" customHeight="1" x14ac:dyDescent="0.25">
      <c r="H89" s="28"/>
    </row>
    <row r="90" spans="8:8" ht="21.6" customHeight="1" x14ac:dyDescent="0.25">
      <c r="H90" s="28"/>
    </row>
    <row r="91" spans="8:8" ht="21.6" customHeight="1" x14ac:dyDescent="0.25">
      <c r="H91" s="28"/>
    </row>
    <row r="92" spans="8:8" ht="21.6" customHeight="1" x14ac:dyDescent="0.25">
      <c r="H92" s="28"/>
    </row>
    <row r="93" spans="8:8" ht="21.6" customHeight="1" x14ac:dyDescent="0.25">
      <c r="H93" s="28"/>
    </row>
    <row r="94" spans="8:8" ht="21.6" customHeight="1" x14ac:dyDescent="0.25">
      <c r="H94" s="28"/>
    </row>
    <row r="95" spans="8:8" ht="21.6" customHeight="1" x14ac:dyDescent="0.25">
      <c r="H95" s="28"/>
    </row>
    <row r="96" spans="8:8" ht="21.6" customHeight="1" x14ac:dyDescent="0.25">
      <c r="H96" s="28"/>
    </row>
    <row r="97" spans="8:8" ht="21.6" customHeight="1" x14ac:dyDescent="0.25">
      <c r="H97" s="28"/>
    </row>
    <row r="98" spans="8:8" ht="21.6" customHeight="1" x14ac:dyDescent="0.25">
      <c r="H98" s="28"/>
    </row>
    <row r="99" spans="8:8" ht="21.6" customHeight="1" x14ac:dyDescent="0.25">
      <c r="H99" s="28"/>
    </row>
    <row r="100" spans="8:8" ht="21.6" customHeight="1" x14ac:dyDescent="0.25">
      <c r="H100" s="28"/>
    </row>
    <row r="101" spans="8:8" ht="21.6" customHeight="1" x14ac:dyDescent="0.25">
      <c r="H101" s="28"/>
    </row>
    <row r="102" spans="8:8" ht="21.6" customHeight="1" x14ac:dyDescent="0.25">
      <c r="H102" s="28"/>
    </row>
    <row r="103" spans="8:8" ht="21.6" customHeight="1" x14ac:dyDescent="0.25">
      <c r="H103" s="28"/>
    </row>
    <row r="104" spans="8:8" ht="21.6" customHeight="1" x14ac:dyDescent="0.25">
      <c r="H104" s="28"/>
    </row>
    <row r="105" spans="8:8" ht="21.6" customHeight="1" x14ac:dyDescent="0.25">
      <c r="H105" s="28"/>
    </row>
    <row r="106" spans="8:8" ht="21.6" customHeight="1" x14ac:dyDescent="0.25">
      <c r="H106" s="28"/>
    </row>
    <row r="107" spans="8:8" ht="21.6" customHeight="1" x14ac:dyDescent="0.25">
      <c r="H107" s="28"/>
    </row>
    <row r="108" spans="8:8" ht="21.6" customHeight="1" x14ac:dyDescent="0.25">
      <c r="H108" s="28"/>
    </row>
    <row r="109" spans="8:8" ht="21.6" customHeight="1" x14ac:dyDescent="0.25">
      <c r="H109" s="28"/>
    </row>
    <row r="110" spans="8:8" ht="21.6" customHeight="1" x14ac:dyDescent="0.25">
      <c r="H110" s="28"/>
    </row>
    <row r="111" spans="8:8" ht="21.6" customHeight="1" x14ac:dyDescent="0.25">
      <c r="H111" s="28"/>
    </row>
    <row r="112" spans="8:8" ht="21.6" customHeight="1" x14ac:dyDescent="0.25">
      <c r="H112" s="28"/>
    </row>
    <row r="113" spans="8:8" ht="21.6" customHeight="1" x14ac:dyDescent="0.25">
      <c r="H113" s="28"/>
    </row>
    <row r="114" spans="8:8" ht="21.6" customHeight="1" x14ac:dyDescent="0.25">
      <c r="H114" s="28"/>
    </row>
    <row r="115" spans="8:8" ht="21.6" customHeight="1" x14ac:dyDescent="0.25">
      <c r="H115" s="28"/>
    </row>
    <row r="116" spans="8:8" ht="21.6" customHeight="1" x14ac:dyDescent="0.25">
      <c r="H116" s="28"/>
    </row>
    <row r="117" spans="8:8" ht="21.6" customHeight="1" x14ac:dyDescent="0.25">
      <c r="H117" s="28"/>
    </row>
    <row r="118" spans="8:8" ht="21.6" customHeight="1" x14ac:dyDescent="0.25">
      <c r="H118" s="28"/>
    </row>
    <row r="119" spans="8:8" ht="21.6" customHeight="1" x14ac:dyDescent="0.25">
      <c r="H119" s="28"/>
    </row>
    <row r="120" spans="8:8" ht="21.6" customHeight="1" x14ac:dyDescent="0.25">
      <c r="H120" s="28"/>
    </row>
    <row r="121" spans="8:8" ht="21.6" customHeight="1" x14ac:dyDescent="0.25">
      <c r="H121" s="28"/>
    </row>
    <row r="122" spans="8:8" ht="21.6" customHeight="1" x14ac:dyDescent="0.25">
      <c r="H122" s="28"/>
    </row>
    <row r="123" spans="8:8" ht="21.6" customHeight="1" x14ac:dyDescent="0.25">
      <c r="H123" s="28"/>
    </row>
    <row r="124" spans="8:8" ht="21.6" customHeight="1" x14ac:dyDescent="0.25">
      <c r="H124" s="28"/>
    </row>
    <row r="125" spans="8:8" ht="21.6" customHeight="1" x14ac:dyDescent="0.25">
      <c r="H125" s="28"/>
    </row>
    <row r="126" spans="8:8" ht="21.6" customHeight="1" x14ac:dyDescent="0.25">
      <c r="H126" s="28"/>
    </row>
    <row r="127" spans="8:8" ht="21.6" customHeight="1" x14ac:dyDescent="0.25">
      <c r="H127" s="28"/>
    </row>
    <row r="128" spans="8:8" ht="21.6" customHeight="1" x14ac:dyDescent="0.25">
      <c r="H128" s="28"/>
    </row>
    <row r="129" spans="8:8" ht="21.6" customHeight="1" x14ac:dyDescent="0.25">
      <c r="H129" s="28"/>
    </row>
    <row r="130" spans="8:8" ht="21.6" customHeight="1" x14ac:dyDescent="0.25">
      <c r="H130" s="28"/>
    </row>
    <row r="131" spans="8:8" ht="21.6" customHeight="1" x14ac:dyDescent="0.25">
      <c r="H131" s="28"/>
    </row>
    <row r="132" spans="8:8" ht="21.6" customHeight="1" x14ac:dyDescent="0.25">
      <c r="H132" s="28"/>
    </row>
    <row r="133" spans="8:8" ht="21.6" customHeight="1" x14ac:dyDescent="0.25">
      <c r="H133" s="28"/>
    </row>
    <row r="134" spans="8:8" ht="21.6" customHeight="1" x14ac:dyDescent="0.25">
      <c r="H134" s="28"/>
    </row>
    <row r="135" spans="8:8" ht="21.6" customHeight="1" x14ac:dyDescent="0.25">
      <c r="H135" s="28"/>
    </row>
    <row r="136" spans="8:8" ht="21.6" customHeight="1" x14ac:dyDescent="0.25">
      <c r="H136" s="28"/>
    </row>
    <row r="137" spans="8:8" ht="21.6" customHeight="1" x14ac:dyDescent="0.25">
      <c r="H137" s="28"/>
    </row>
    <row r="138" spans="8:8" ht="21.6" customHeight="1" x14ac:dyDescent="0.25">
      <c r="H138" s="28"/>
    </row>
    <row r="139" spans="8:8" ht="21.6" customHeight="1" x14ac:dyDescent="0.25">
      <c r="H139" s="28"/>
    </row>
    <row r="140" spans="8:8" ht="21.6" customHeight="1" x14ac:dyDescent="0.25">
      <c r="H140" s="28"/>
    </row>
    <row r="141" spans="8:8" ht="21.6" customHeight="1" x14ac:dyDescent="0.25">
      <c r="H141" s="28"/>
    </row>
    <row r="142" spans="8:8" ht="21.6" customHeight="1" x14ac:dyDescent="0.25">
      <c r="H142" s="28"/>
    </row>
    <row r="143" spans="8:8" ht="21.6" customHeight="1" x14ac:dyDescent="0.25">
      <c r="H143" s="28"/>
    </row>
    <row r="144" spans="8:8" ht="21.6" customHeight="1" x14ac:dyDescent="0.25">
      <c r="H144" s="28"/>
    </row>
    <row r="145" spans="8:8" ht="21.6" customHeight="1" x14ac:dyDescent="0.25">
      <c r="H145" s="28"/>
    </row>
    <row r="146" spans="8:8" ht="21.6" customHeight="1" x14ac:dyDescent="0.25">
      <c r="H146" s="28"/>
    </row>
    <row r="147" spans="8:8" ht="21.6" customHeight="1" x14ac:dyDescent="0.25">
      <c r="H147" s="28"/>
    </row>
    <row r="148" spans="8:8" ht="21.6" customHeight="1" x14ac:dyDescent="0.25">
      <c r="H148" s="28"/>
    </row>
    <row r="149" spans="8:8" ht="21.6" customHeight="1" x14ac:dyDescent="0.25">
      <c r="H149" s="28"/>
    </row>
    <row r="150" spans="8:8" ht="21.6" customHeight="1" x14ac:dyDescent="0.25">
      <c r="H150" s="28"/>
    </row>
    <row r="151" spans="8:8" ht="21.6" customHeight="1" x14ac:dyDescent="0.25">
      <c r="H151" s="28"/>
    </row>
    <row r="152" spans="8:8" ht="21.6" customHeight="1" x14ac:dyDescent="0.25">
      <c r="H152" s="28"/>
    </row>
    <row r="153" spans="8:8" ht="21.6" customHeight="1" x14ac:dyDescent="0.25">
      <c r="H153" s="28"/>
    </row>
    <row r="154" spans="8:8" ht="21.6" customHeight="1" x14ac:dyDescent="0.25">
      <c r="H154" s="28"/>
    </row>
    <row r="155" spans="8:8" ht="21.6" customHeight="1" x14ac:dyDescent="0.25">
      <c r="H155" s="28"/>
    </row>
    <row r="156" spans="8:8" ht="21.6" customHeight="1" x14ac:dyDescent="0.25">
      <c r="H156" s="28"/>
    </row>
    <row r="157" spans="8:8" ht="21.6" customHeight="1" x14ac:dyDescent="0.25">
      <c r="H157" s="28"/>
    </row>
    <row r="158" spans="8:8" ht="21.6" customHeight="1" x14ac:dyDescent="0.25">
      <c r="H158" s="28"/>
    </row>
    <row r="159" spans="8:8" ht="21.6" customHeight="1" x14ac:dyDescent="0.25">
      <c r="H159" s="28"/>
    </row>
    <row r="160" spans="8:8" ht="21.6" customHeight="1" x14ac:dyDescent="0.25">
      <c r="H160" s="28"/>
    </row>
    <row r="161" spans="8:8" ht="21.6" customHeight="1" x14ac:dyDescent="0.25">
      <c r="H161" s="28"/>
    </row>
    <row r="162" spans="8:8" ht="21.6" customHeight="1" x14ac:dyDescent="0.25">
      <c r="H162" s="28"/>
    </row>
    <row r="163" spans="8:8" ht="21.6" customHeight="1" x14ac:dyDescent="0.25">
      <c r="H163" s="28"/>
    </row>
    <row r="164" spans="8:8" ht="21.6" customHeight="1" x14ac:dyDescent="0.25">
      <c r="H164" s="28"/>
    </row>
    <row r="165" spans="8:8" ht="21.6" customHeight="1" x14ac:dyDescent="0.25">
      <c r="H165" s="28"/>
    </row>
    <row r="166" spans="8:8" ht="21.6" customHeight="1" x14ac:dyDescent="0.25">
      <c r="H166" s="28"/>
    </row>
    <row r="167" spans="8:8" ht="21.6" customHeight="1" x14ac:dyDescent="0.25">
      <c r="H167" s="28"/>
    </row>
    <row r="168" spans="8:8" ht="21.6" customHeight="1" x14ac:dyDescent="0.25">
      <c r="H168" s="28"/>
    </row>
    <row r="169" spans="8:8" ht="21.6" customHeight="1" x14ac:dyDescent="0.25">
      <c r="H169" s="28"/>
    </row>
    <row r="170" spans="8:8" ht="21.6" customHeight="1" x14ac:dyDescent="0.25">
      <c r="H170" s="28"/>
    </row>
    <row r="171" spans="8:8" ht="21.6" customHeight="1" x14ac:dyDescent="0.25">
      <c r="H171" s="28"/>
    </row>
    <row r="172" spans="8:8" ht="21.6" customHeight="1" x14ac:dyDescent="0.25">
      <c r="H172" s="28"/>
    </row>
    <row r="173" spans="8:8" ht="21.6" customHeight="1" x14ac:dyDescent="0.25">
      <c r="H173" s="28"/>
    </row>
    <row r="174" spans="8:8" ht="21.6" customHeight="1" x14ac:dyDescent="0.25">
      <c r="H174" s="28"/>
    </row>
    <row r="175" spans="8:8" ht="21.6" customHeight="1" x14ac:dyDescent="0.25">
      <c r="H175" s="28"/>
    </row>
    <row r="176" spans="8:8" ht="21.6" customHeight="1" x14ac:dyDescent="0.25">
      <c r="H176" s="28"/>
    </row>
    <row r="177" spans="8:8" ht="21.6" customHeight="1" x14ac:dyDescent="0.25">
      <c r="H177" s="28"/>
    </row>
    <row r="178" spans="8:8" ht="21.6" customHeight="1" x14ac:dyDescent="0.25">
      <c r="H178" s="28"/>
    </row>
    <row r="179" spans="8:8" ht="21.6" customHeight="1" x14ac:dyDescent="0.25">
      <c r="H179" s="28"/>
    </row>
    <row r="180" spans="8:8" ht="21.6" customHeight="1" x14ac:dyDescent="0.25">
      <c r="H180" s="28"/>
    </row>
    <row r="181" spans="8:8" ht="21.6" customHeight="1" x14ac:dyDescent="0.25">
      <c r="H181" s="28"/>
    </row>
    <row r="182" spans="8:8" ht="21.6" customHeight="1" x14ac:dyDescent="0.25">
      <c r="H182" s="28"/>
    </row>
    <row r="183" spans="8:8" ht="21.6" customHeight="1" x14ac:dyDescent="0.25">
      <c r="H183" s="28"/>
    </row>
    <row r="184" spans="8:8" ht="21.6" customHeight="1" x14ac:dyDescent="0.25">
      <c r="H184" s="28"/>
    </row>
    <row r="185" spans="8:8" ht="21.6" customHeight="1" x14ac:dyDescent="0.25">
      <c r="H185" s="28"/>
    </row>
    <row r="186" spans="8:8" ht="21.6" customHeight="1" x14ac:dyDescent="0.25">
      <c r="H186" s="28"/>
    </row>
    <row r="187" spans="8:8" ht="21.6" customHeight="1" x14ac:dyDescent="0.25">
      <c r="H187" s="28"/>
    </row>
    <row r="188" spans="8:8" ht="21.6" customHeight="1" x14ac:dyDescent="0.25">
      <c r="H188" s="28"/>
    </row>
    <row r="189" spans="8:8" ht="21.6" customHeight="1" x14ac:dyDescent="0.25">
      <c r="H189" s="28"/>
    </row>
    <row r="190" spans="8:8" ht="21.6" customHeight="1" x14ac:dyDescent="0.25">
      <c r="H190" s="28"/>
    </row>
    <row r="191" spans="8:8" ht="21.6" customHeight="1" x14ac:dyDescent="0.25">
      <c r="H191" s="28"/>
    </row>
    <row r="192" spans="8:8" ht="21.6" customHeight="1" x14ac:dyDescent="0.25">
      <c r="H192" s="28"/>
    </row>
    <row r="193" spans="8:8" ht="21.6" customHeight="1" x14ac:dyDescent="0.25">
      <c r="H193" s="28"/>
    </row>
    <row r="194" spans="8:8" ht="21.6" customHeight="1" x14ac:dyDescent="0.25">
      <c r="H194" s="28"/>
    </row>
    <row r="195" spans="8:8" ht="21.6" customHeight="1" x14ac:dyDescent="0.25">
      <c r="H195" s="28"/>
    </row>
    <row r="196" spans="8:8" ht="21.6" customHeight="1" x14ac:dyDescent="0.25">
      <c r="H196" s="28"/>
    </row>
    <row r="197" spans="8:8" ht="21.6" customHeight="1" x14ac:dyDescent="0.25">
      <c r="H197" s="28"/>
    </row>
    <row r="198" spans="8:8" ht="21.6" customHeight="1" x14ac:dyDescent="0.25">
      <c r="H198" s="28"/>
    </row>
    <row r="199" spans="8:8" ht="21.6" customHeight="1" x14ac:dyDescent="0.25">
      <c r="H199" s="28"/>
    </row>
    <row r="200" spans="8:8" ht="21.6" customHeight="1" x14ac:dyDescent="0.25">
      <c r="H200" s="28"/>
    </row>
    <row r="201" spans="8:8" ht="21.6" customHeight="1" x14ac:dyDescent="0.25">
      <c r="H201" s="28"/>
    </row>
    <row r="202" spans="8:8" ht="21.6" customHeight="1" x14ac:dyDescent="0.25">
      <c r="H202" s="28"/>
    </row>
    <row r="203" spans="8:8" ht="21.6" customHeight="1" x14ac:dyDescent="0.25">
      <c r="H203" s="28"/>
    </row>
    <row r="204" spans="8:8" ht="21.6" customHeight="1" x14ac:dyDescent="0.25">
      <c r="H204" s="28"/>
    </row>
    <row r="205" spans="8:8" ht="21.6" customHeight="1" x14ac:dyDescent="0.25">
      <c r="H205" s="28"/>
    </row>
    <row r="206" spans="8:8" ht="21.6" customHeight="1" x14ac:dyDescent="0.25">
      <c r="H206" s="28"/>
    </row>
    <row r="207" spans="8:8" ht="21.6" customHeight="1" x14ac:dyDescent="0.25">
      <c r="H207" s="28"/>
    </row>
    <row r="208" spans="8:8" ht="21.6" customHeight="1" x14ac:dyDescent="0.25">
      <c r="H208" s="28"/>
    </row>
    <row r="209" spans="8:8" ht="21.6" customHeight="1" x14ac:dyDescent="0.25">
      <c r="H209" s="28"/>
    </row>
    <row r="210" spans="8:8" ht="21.6" customHeight="1" x14ac:dyDescent="0.25">
      <c r="H210" s="28"/>
    </row>
    <row r="211" spans="8:8" ht="21.6" customHeight="1" x14ac:dyDescent="0.25">
      <c r="H211" s="28"/>
    </row>
    <row r="212" spans="8:8" ht="21.6" customHeight="1" x14ac:dyDescent="0.25">
      <c r="H212" s="28"/>
    </row>
    <row r="213" spans="8:8" ht="21.6" customHeight="1" x14ac:dyDescent="0.25">
      <c r="H213" s="28"/>
    </row>
    <row r="214" spans="8:8" ht="21.6" customHeight="1" x14ac:dyDescent="0.25">
      <c r="H214" s="28"/>
    </row>
    <row r="215" spans="8:8" ht="21.6" customHeight="1" x14ac:dyDescent="0.25">
      <c r="H215" s="28"/>
    </row>
    <row r="216" spans="8:8" ht="21.6" customHeight="1" x14ac:dyDescent="0.25">
      <c r="H216" s="28"/>
    </row>
    <row r="217" spans="8:8" ht="21.6" customHeight="1" x14ac:dyDescent="0.25">
      <c r="H217" s="28"/>
    </row>
    <row r="218" spans="8:8" ht="21.6" customHeight="1" x14ac:dyDescent="0.25">
      <c r="H218" s="28"/>
    </row>
    <row r="219" spans="8:8" ht="21.6" customHeight="1" x14ac:dyDescent="0.25">
      <c r="H219" s="28"/>
    </row>
    <row r="220" spans="8:8" ht="21.6" customHeight="1" x14ac:dyDescent="0.25">
      <c r="H220" s="28"/>
    </row>
    <row r="221" spans="8:8" ht="21.6" customHeight="1" x14ac:dyDescent="0.25">
      <c r="H221" s="28"/>
    </row>
    <row r="222" spans="8:8" ht="21.6" customHeight="1" x14ac:dyDescent="0.25">
      <c r="H222" s="28"/>
    </row>
    <row r="223" spans="8:8" ht="21.6" customHeight="1" x14ac:dyDescent="0.25">
      <c r="H223" s="28"/>
    </row>
    <row r="224" spans="8:8" ht="21.6" customHeight="1" x14ac:dyDescent="0.25">
      <c r="H224" s="28"/>
    </row>
    <row r="225" spans="8:8" ht="21.6" customHeight="1" x14ac:dyDescent="0.25">
      <c r="H225" s="28"/>
    </row>
    <row r="226" spans="8:8" ht="21.6" customHeight="1" x14ac:dyDescent="0.25">
      <c r="H226" s="28"/>
    </row>
    <row r="227" spans="8:8" ht="21.6" customHeight="1" x14ac:dyDescent="0.25">
      <c r="H227" s="28"/>
    </row>
    <row r="228" spans="8:8" ht="21.6" customHeight="1" x14ac:dyDescent="0.25">
      <c r="H228" s="28"/>
    </row>
    <row r="229" spans="8:8" ht="21.6" customHeight="1" x14ac:dyDescent="0.25">
      <c r="H229" s="28"/>
    </row>
    <row r="230" spans="8:8" ht="21.6" customHeight="1" x14ac:dyDescent="0.25">
      <c r="H230" s="28"/>
    </row>
    <row r="231" spans="8:8" ht="21.6" customHeight="1" x14ac:dyDescent="0.25">
      <c r="H231" s="28"/>
    </row>
    <row r="232" spans="8:8" ht="21.6" customHeight="1" x14ac:dyDescent="0.25">
      <c r="H232" s="28"/>
    </row>
    <row r="233" spans="8:8" ht="21.6" customHeight="1" x14ac:dyDescent="0.25">
      <c r="H233" s="28"/>
    </row>
    <row r="234" spans="8:8" ht="21.6" customHeight="1" x14ac:dyDescent="0.25">
      <c r="H234" s="28"/>
    </row>
    <row r="235" spans="8:8" ht="21.6" customHeight="1" x14ac:dyDescent="0.25">
      <c r="H235" s="28"/>
    </row>
    <row r="236" spans="8:8" ht="21.6" customHeight="1" x14ac:dyDescent="0.25">
      <c r="H236" s="28"/>
    </row>
    <row r="237" spans="8:8" ht="21.6" customHeight="1" x14ac:dyDescent="0.25">
      <c r="H237" s="28"/>
    </row>
    <row r="238" spans="8:8" ht="21.6" customHeight="1" x14ac:dyDescent="0.25">
      <c r="H238" s="28"/>
    </row>
    <row r="239" spans="8:8" ht="21.6" customHeight="1" x14ac:dyDescent="0.25">
      <c r="H239" s="28"/>
    </row>
    <row r="240" spans="8:8" ht="21.6" customHeight="1" x14ac:dyDescent="0.25">
      <c r="H240" s="28"/>
    </row>
    <row r="241" spans="8:8" ht="21.6" customHeight="1" x14ac:dyDescent="0.25">
      <c r="H241" s="28"/>
    </row>
    <row r="242" spans="8:8" ht="21.6" customHeight="1" x14ac:dyDescent="0.25">
      <c r="H242" s="28"/>
    </row>
    <row r="243" spans="8:8" ht="21.6" customHeight="1" x14ac:dyDescent="0.25">
      <c r="H243" s="28"/>
    </row>
    <row r="244" spans="8:8" ht="21.6" customHeight="1" x14ac:dyDescent="0.25">
      <c r="H244" s="28"/>
    </row>
    <row r="245" spans="8:8" ht="21.6" customHeight="1" x14ac:dyDescent="0.25">
      <c r="H245" s="28"/>
    </row>
    <row r="246" spans="8:8" ht="21.6" customHeight="1" x14ac:dyDescent="0.25">
      <c r="H246" s="28"/>
    </row>
    <row r="247" spans="8:8" ht="21.6" customHeight="1" x14ac:dyDescent="0.25">
      <c r="H247" s="28"/>
    </row>
    <row r="248" spans="8:8" ht="21.6" customHeight="1" x14ac:dyDescent="0.25">
      <c r="H248" s="28"/>
    </row>
    <row r="249" spans="8:8" ht="21.6" customHeight="1" x14ac:dyDescent="0.25">
      <c r="H249" s="28"/>
    </row>
    <row r="250" spans="8:8" ht="21.6" customHeight="1" x14ac:dyDescent="0.25">
      <c r="H250" s="28"/>
    </row>
    <row r="251" spans="8:8" ht="21.6" customHeight="1" x14ac:dyDescent="0.25">
      <c r="H251" s="28"/>
    </row>
    <row r="252" spans="8:8" ht="21.6" customHeight="1" x14ac:dyDescent="0.25">
      <c r="H252" s="28"/>
    </row>
    <row r="253" spans="8:8" ht="21.6" customHeight="1" x14ac:dyDescent="0.25">
      <c r="H253" s="28"/>
    </row>
    <row r="254" spans="8:8" ht="21.6" customHeight="1" x14ac:dyDescent="0.25">
      <c r="H254" s="28"/>
    </row>
    <row r="255" spans="8:8" ht="21.6" customHeight="1" x14ac:dyDescent="0.25">
      <c r="H255" s="28"/>
    </row>
    <row r="256" spans="8:8" ht="21.6" customHeight="1" x14ac:dyDescent="0.25">
      <c r="H256" s="28"/>
    </row>
    <row r="257" spans="8:8" ht="21.6" customHeight="1" x14ac:dyDescent="0.25">
      <c r="H257" s="28"/>
    </row>
    <row r="258" spans="8:8" ht="21.6" customHeight="1" x14ac:dyDescent="0.25">
      <c r="H258" s="28"/>
    </row>
    <row r="259" spans="8:8" ht="21.6" customHeight="1" x14ac:dyDescent="0.25">
      <c r="H259" s="28"/>
    </row>
    <row r="260" spans="8:8" ht="21.6" customHeight="1" x14ac:dyDescent="0.25">
      <c r="H260" s="28"/>
    </row>
    <row r="261" spans="8:8" ht="21.6" customHeight="1" x14ac:dyDescent="0.25">
      <c r="H261" s="28"/>
    </row>
    <row r="262" spans="8:8" ht="21.6" customHeight="1" x14ac:dyDescent="0.25">
      <c r="H262" s="28"/>
    </row>
    <row r="263" spans="8:8" ht="21.6" customHeight="1" x14ac:dyDescent="0.25">
      <c r="H263" s="28"/>
    </row>
    <row r="264" spans="8:8" ht="21.6" customHeight="1" x14ac:dyDescent="0.25">
      <c r="H264" s="28"/>
    </row>
    <row r="265" spans="8:8" ht="21.6" customHeight="1" x14ac:dyDescent="0.25">
      <c r="H265" s="28"/>
    </row>
    <row r="266" spans="8:8" ht="21.6" customHeight="1" x14ac:dyDescent="0.25">
      <c r="H266" s="28"/>
    </row>
    <row r="267" spans="8:8" ht="21.6" customHeight="1" x14ac:dyDescent="0.25">
      <c r="H267" s="28"/>
    </row>
    <row r="268" spans="8:8" ht="21.6" customHeight="1" x14ac:dyDescent="0.25">
      <c r="H268" s="28"/>
    </row>
    <row r="269" spans="8:8" ht="21.6" customHeight="1" x14ac:dyDescent="0.25">
      <c r="H269" s="28"/>
    </row>
    <row r="270" spans="8:8" ht="21.6" customHeight="1" x14ac:dyDescent="0.25">
      <c r="H270" s="28"/>
    </row>
    <row r="271" spans="8:8" ht="21.6" customHeight="1" x14ac:dyDescent="0.25">
      <c r="H271" s="28"/>
    </row>
    <row r="272" spans="8:8" ht="21.6" customHeight="1" x14ac:dyDescent="0.25">
      <c r="H272" s="28"/>
    </row>
    <row r="273" spans="8:8" ht="21.6" customHeight="1" x14ac:dyDescent="0.25">
      <c r="H273" s="28"/>
    </row>
    <row r="274" spans="8:8" ht="21.6" customHeight="1" x14ac:dyDescent="0.25">
      <c r="H274" s="28"/>
    </row>
    <row r="275" spans="8:8" ht="21.6" customHeight="1" x14ac:dyDescent="0.25">
      <c r="H275" s="28"/>
    </row>
    <row r="276" spans="8:8" ht="21.6" customHeight="1" x14ac:dyDescent="0.25">
      <c r="H276" s="28"/>
    </row>
    <row r="277" spans="8:8" ht="21.6" customHeight="1" x14ac:dyDescent="0.25">
      <c r="H277" s="28"/>
    </row>
    <row r="278" spans="8:8" ht="21.6" customHeight="1" x14ac:dyDescent="0.25">
      <c r="H278" s="28"/>
    </row>
    <row r="279" spans="8:8" ht="21.6" customHeight="1" x14ac:dyDescent="0.25">
      <c r="H279" s="28"/>
    </row>
    <row r="280" spans="8:8" ht="21.6" customHeight="1" x14ac:dyDescent="0.25">
      <c r="H280" s="28"/>
    </row>
    <row r="281" spans="8:8" ht="21.6" customHeight="1" x14ac:dyDescent="0.25">
      <c r="H281" s="28"/>
    </row>
    <row r="282" spans="8:8" ht="21.6" customHeight="1" x14ac:dyDescent="0.25">
      <c r="H282" s="28"/>
    </row>
    <row r="283" spans="8:8" ht="21.6" customHeight="1" x14ac:dyDescent="0.25">
      <c r="H283" s="28"/>
    </row>
    <row r="284" spans="8:8" ht="21.6" customHeight="1" x14ac:dyDescent="0.25">
      <c r="H284" s="28"/>
    </row>
    <row r="285" spans="8:8" ht="21.6" customHeight="1" x14ac:dyDescent="0.25">
      <c r="H285" s="28"/>
    </row>
    <row r="286" spans="8:8" ht="21.6" customHeight="1" x14ac:dyDescent="0.25">
      <c r="H286" s="28"/>
    </row>
    <row r="287" spans="8:8" ht="21.6" customHeight="1" x14ac:dyDescent="0.25">
      <c r="H287" s="28"/>
    </row>
    <row r="288" spans="8:8" ht="21.6" customHeight="1" x14ac:dyDescent="0.25">
      <c r="H288" s="28"/>
    </row>
    <row r="289" spans="8:8" ht="21.6" customHeight="1" x14ac:dyDescent="0.25">
      <c r="H289" s="28"/>
    </row>
    <row r="290" spans="8:8" ht="21.6" customHeight="1" x14ac:dyDescent="0.25">
      <c r="H290" s="28"/>
    </row>
    <row r="291" spans="8:8" ht="21.6" customHeight="1" x14ac:dyDescent="0.25">
      <c r="H291" s="28"/>
    </row>
    <row r="292" spans="8:8" ht="21.6" customHeight="1" x14ac:dyDescent="0.25">
      <c r="H292" s="28"/>
    </row>
    <row r="293" spans="8:8" ht="21.6" customHeight="1" x14ac:dyDescent="0.25">
      <c r="H293" s="28"/>
    </row>
    <row r="294" spans="8:8" ht="21.6" customHeight="1" x14ac:dyDescent="0.25">
      <c r="H294" s="28"/>
    </row>
    <row r="295" spans="8:8" ht="21.6" customHeight="1" x14ac:dyDescent="0.25">
      <c r="H295" s="28"/>
    </row>
    <row r="296" spans="8:8" ht="21.6" customHeight="1" x14ac:dyDescent="0.25">
      <c r="H296" s="28"/>
    </row>
    <row r="297" spans="8:8" ht="21.6" customHeight="1" x14ac:dyDescent="0.25">
      <c r="H297" s="28"/>
    </row>
    <row r="298" spans="8:8" ht="21.6" customHeight="1" x14ac:dyDescent="0.25">
      <c r="H298" s="28"/>
    </row>
    <row r="299" spans="8:8" ht="21.6" customHeight="1" x14ac:dyDescent="0.25">
      <c r="H299" s="28"/>
    </row>
    <row r="300" spans="8:8" ht="21.6" customHeight="1" x14ac:dyDescent="0.25">
      <c r="H300" s="28"/>
    </row>
    <row r="301" spans="8:8" ht="21.6" customHeight="1" x14ac:dyDescent="0.25">
      <c r="H301" s="28"/>
    </row>
    <row r="302" spans="8:8" ht="21.6" customHeight="1" x14ac:dyDescent="0.25">
      <c r="H302" s="28"/>
    </row>
    <row r="303" spans="8:8" ht="21.6" customHeight="1" x14ac:dyDescent="0.25">
      <c r="H303" s="28"/>
    </row>
    <row r="304" spans="8:8" ht="21.6" customHeight="1" x14ac:dyDescent="0.25">
      <c r="H304" s="28"/>
    </row>
    <row r="305" spans="8:8" ht="21.6" customHeight="1" x14ac:dyDescent="0.25">
      <c r="H305" s="28"/>
    </row>
    <row r="306" spans="8:8" ht="21.6" customHeight="1" x14ac:dyDescent="0.25">
      <c r="H306" s="28"/>
    </row>
    <row r="307" spans="8:8" ht="21.6" customHeight="1" x14ac:dyDescent="0.25">
      <c r="H307" s="28"/>
    </row>
    <row r="308" spans="8:8" ht="21.6" customHeight="1" x14ac:dyDescent="0.25">
      <c r="H308" s="28"/>
    </row>
    <row r="309" spans="8:8" ht="21.6" customHeight="1" x14ac:dyDescent="0.25">
      <c r="H309" s="28"/>
    </row>
    <row r="310" spans="8:8" ht="21.6" customHeight="1" x14ac:dyDescent="0.25">
      <c r="H310" s="28"/>
    </row>
    <row r="311" spans="8:8" ht="21.6" customHeight="1" x14ac:dyDescent="0.25">
      <c r="H311" s="28"/>
    </row>
    <row r="312" spans="8:8" ht="21.6" customHeight="1" x14ac:dyDescent="0.25">
      <c r="H312" s="28"/>
    </row>
    <row r="313" spans="8:8" ht="21.6" customHeight="1" x14ac:dyDescent="0.25">
      <c r="H313" s="28"/>
    </row>
    <row r="314" spans="8:8" ht="21.6" customHeight="1" x14ac:dyDescent="0.25">
      <c r="H314" s="28"/>
    </row>
    <row r="315" spans="8:8" ht="21.6" customHeight="1" x14ac:dyDescent="0.25">
      <c r="H315" s="28"/>
    </row>
    <row r="316" spans="8:8" ht="21.6" customHeight="1" x14ac:dyDescent="0.25">
      <c r="H316" s="28"/>
    </row>
    <row r="317" spans="8:8" ht="21.6" customHeight="1" x14ac:dyDescent="0.25">
      <c r="H317" s="28"/>
    </row>
    <row r="318" spans="8:8" ht="21.6" customHeight="1" x14ac:dyDescent="0.25">
      <c r="H318" s="28"/>
    </row>
    <row r="319" spans="8:8" ht="21.6" customHeight="1" x14ac:dyDescent="0.25">
      <c r="H319" s="28"/>
    </row>
    <row r="320" spans="8:8" ht="21.6" customHeight="1" x14ac:dyDescent="0.25">
      <c r="H320" s="28"/>
    </row>
    <row r="321" spans="8:8" ht="21.6" customHeight="1" x14ac:dyDescent="0.25">
      <c r="H321" s="28"/>
    </row>
    <row r="322" spans="8:8" ht="21.6" customHeight="1" x14ac:dyDescent="0.25">
      <c r="H322" s="28"/>
    </row>
    <row r="323" spans="8:8" ht="21.6" customHeight="1" x14ac:dyDescent="0.25">
      <c r="H323" s="28"/>
    </row>
    <row r="324" spans="8:8" ht="21.6" customHeight="1" x14ac:dyDescent="0.25">
      <c r="H324" s="28"/>
    </row>
    <row r="325" spans="8:8" ht="21.6" customHeight="1" x14ac:dyDescent="0.25">
      <c r="H325" s="28"/>
    </row>
    <row r="326" spans="8:8" ht="21.6" customHeight="1" x14ac:dyDescent="0.25">
      <c r="H326" s="28"/>
    </row>
    <row r="327" spans="8:8" ht="21.6" customHeight="1" x14ac:dyDescent="0.25">
      <c r="H327" s="28"/>
    </row>
    <row r="328" spans="8:8" ht="21.6" customHeight="1" x14ac:dyDescent="0.25">
      <c r="H328" s="28"/>
    </row>
    <row r="329" spans="8:8" ht="21.6" customHeight="1" x14ac:dyDescent="0.25">
      <c r="H329" s="28"/>
    </row>
    <row r="330" spans="8:8" ht="21.6" customHeight="1" x14ac:dyDescent="0.25">
      <c r="H330" s="28"/>
    </row>
    <row r="331" spans="8:8" ht="21.6" customHeight="1" x14ac:dyDescent="0.25">
      <c r="H331" s="28"/>
    </row>
    <row r="332" spans="8:8" ht="21.6" customHeight="1" x14ac:dyDescent="0.25">
      <c r="H332" s="28"/>
    </row>
    <row r="333" spans="8:8" ht="21.6" customHeight="1" x14ac:dyDescent="0.25">
      <c r="H333" s="28"/>
    </row>
    <row r="334" spans="8:8" ht="21.6" customHeight="1" x14ac:dyDescent="0.25">
      <c r="H334" s="28"/>
    </row>
    <row r="335" spans="8:8" ht="21.6" customHeight="1" x14ac:dyDescent="0.25">
      <c r="H335" s="28"/>
    </row>
    <row r="336" spans="8:8" ht="21.6" customHeight="1" x14ac:dyDescent="0.25">
      <c r="H336" s="28"/>
    </row>
    <row r="337" spans="8:8" ht="21.6" customHeight="1" x14ac:dyDescent="0.25">
      <c r="H337" s="28"/>
    </row>
    <row r="338" spans="8:8" ht="21.6" customHeight="1" x14ac:dyDescent="0.25">
      <c r="H338" s="28"/>
    </row>
    <row r="339" spans="8:8" ht="21.6" customHeight="1" x14ac:dyDescent="0.25">
      <c r="H339" s="28"/>
    </row>
    <row r="340" spans="8:8" ht="21.6" customHeight="1" x14ac:dyDescent="0.25">
      <c r="H340" s="28"/>
    </row>
    <row r="341" spans="8:8" ht="21.6" customHeight="1" x14ac:dyDescent="0.25">
      <c r="H341" s="28"/>
    </row>
    <row r="342" spans="8:8" ht="21.6" customHeight="1" x14ac:dyDescent="0.25">
      <c r="H342" s="28"/>
    </row>
    <row r="343" spans="8:8" ht="21.6" customHeight="1" x14ac:dyDescent="0.25">
      <c r="H343" s="28"/>
    </row>
    <row r="344" spans="8:8" ht="21.6" customHeight="1" x14ac:dyDescent="0.25">
      <c r="H344" s="28"/>
    </row>
    <row r="345" spans="8:8" ht="21.6" customHeight="1" x14ac:dyDescent="0.25">
      <c r="H345" s="28"/>
    </row>
    <row r="346" spans="8:8" ht="21.6" customHeight="1" x14ac:dyDescent="0.25">
      <c r="H346" s="28"/>
    </row>
    <row r="347" spans="8:8" ht="21.6" customHeight="1" x14ac:dyDescent="0.25">
      <c r="H347" s="28"/>
    </row>
    <row r="348" spans="8:8" ht="21.6" customHeight="1" x14ac:dyDescent="0.25">
      <c r="H348" s="28"/>
    </row>
    <row r="349" spans="8:8" ht="21.6" customHeight="1" x14ac:dyDescent="0.25">
      <c r="H349" s="28"/>
    </row>
    <row r="350" spans="8:8" ht="21.6" customHeight="1" x14ac:dyDescent="0.25">
      <c r="H350" s="28"/>
    </row>
    <row r="351" spans="8:8" ht="21.6" customHeight="1" x14ac:dyDescent="0.25">
      <c r="H351" s="28"/>
    </row>
    <row r="352" spans="8:8" ht="21.6" customHeight="1" x14ac:dyDescent="0.25">
      <c r="H352" s="28"/>
    </row>
    <row r="353" spans="8:8" ht="21.6" customHeight="1" x14ac:dyDescent="0.25">
      <c r="H353" s="28"/>
    </row>
    <row r="354" spans="8:8" ht="21.6" customHeight="1" x14ac:dyDescent="0.25">
      <c r="H354" s="28"/>
    </row>
    <row r="355" spans="8:8" ht="21.6" customHeight="1" x14ac:dyDescent="0.25">
      <c r="H355" s="28"/>
    </row>
    <row r="356" spans="8:8" ht="21.6" customHeight="1" x14ac:dyDescent="0.25">
      <c r="H356" s="28"/>
    </row>
    <row r="357" spans="8:8" ht="21.6" customHeight="1" x14ac:dyDescent="0.25">
      <c r="H357" s="28"/>
    </row>
    <row r="358" spans="8:8" ht="21.6" customHeight="1" x14ac:dyDescent="0.25">
      <c r="H358" s="28"/>
    </row>
    <row r="359" spans="8:8" ht="21.6" customHeight="1" x14ac:dyDescent="0.25">
      <c r="H359" s="28"/>
    </row>
    <row r="360" spans="8:8" ht="21.6" customHeight="1" x14ac:dyDescent="0.25">
      <c r="H360" s="28"/>
    </row>
    <row r="361" spans="8:8" ht="21.6" customHeight="1" x14ac:dyDescent="0.25">
      <c r="H361" s="28"/>
    </row>
    <row r="362" spans="8:8" ht="21.6" customHeight="1" x14ac:dyDescent="0.25">
      <c r="H362" s="28"/>
    </row>
    <row r="363" spans="8:8" ht="21.6" customHeight="1" x14ac:dyDescent="0.25">
      <c r="H363" s="28"/>
    </row>
    <row r="364" spans="8:8" ht="21.6" customHeight="1" x14ac:dyDescent="0.25">
      <c r="H364" s="28"/>
    </row>
    <row r="365" spans="8:8" ht="21.6" customHeight="1" x14ac:dyDescent="0.25">
      <c r="H365" s="28"/>
    </row>
    <row r="366" spans="8:8" ht="21.6" customHeight="1" x14ac:dyDescent="0.25">
      <c r="H366" s="28"/>
    </row>
    <row r="367" spans="8:8" ht="21.6" customHeight="1" x14ac:dyDescent="0.25">
      <c r="H367" s="28"/>
    </row>
    <row r="368" spans="8:8" ht="21.6" customHeight="1" x14ac:dyDescent="0.25">
      <c r="H368" s="28"/>
    </row>
    <row r="369" spans="8:8" ht="21.6" customHeight="1" x14ac:dyDescent="0.25">
      <c r="H369" s="28"/>
    </row>
    <row r="370" spans="8:8" ht="21.6" customHeight="1" x14ac:dyDescent="0.25">
      <c r="H370" s="28"/>
    </row>
    <row r="371" spans="8:8" ht="21.6" customHeight="1" x14ac:dyDescent="0.25">
      <c r="H371" s="28"/>
    </row>
    <row r="372" spans="8:8" ht="21.6" customHeight="1" x14ac:dyDescent="0.25">
      <c r="H372" s="28"/>
    </row>
    <row r="373" spans="8:8" ht="21.6" customHeight="1" x14ac:dyDescent="0.25">
      <c r="H373" s="28"/>
    </row>
    <row r="374" spans="8:8" ht="21.6" customHeight="1" x14ac:dyDescent="0.25">
      <c r="H374" s="28"/>
    </row>
    <row r="375" spans="8:8" ht="21.6" customHeight="1" x14ac:dyDescent="0.25">
      <c r="H375" s="28"/>
    </row>
    <row r="376" spans="8:8" ht="21.6" customHeight="1" x14ac:dyDescent="0.25">
      <c r="H376" s="28"/>
    </row>
    <row r="377" spans="8:8" ht="21.6" customHeight="1" x14ac:dyDescent="0.25">
      <c r="H377" s="28"/>
    </row>
    <row r="378" spans="8:8" ht="21.6" customHeight="1" x14ac:dyDescent="0.25">
      <c r="H378" s="28"/>
    </row>
    <row r="379" spans="8:8" ht="21.6" customHeight="1" x14ac:dyDescent="0.25">
      <c r="H379" s="28"/>
    </row>
    <row r="380" spans="8:8" ht="21.6" customHeight="1" x14ac:dyDescent="0.25">
      <c r="H380" s="28"/>
    </row>
    <row r="381" spans="8:8" ht="21.6" customHeight="1" x14ac:dyDescent="0.25">
      <c r="H381" s="28"/>
    </row>
    <row r="382" spans="8:8" ht="21.6" customHeight="1" x14ac:dyDescent="0.25">
      <c r="H382" s="28"/>
    </row>
    <row r="383" spans="8:8" ht="21.6" customHeight="1" x14ac:dyDescent="0.25">
      <c r="H383" s="28"/>
    </row>
    <row r="384" spans="8:8" ht="21.6" customHeight="1" x14ac:dyDescent="0.25">
      <c r="H384" s="28"/>
    </row>
    <row r="385" spans="8:8" ht="21.6" customHeight="1" x14ac:dyDescent="0.25">
      <c r="H385" s="28"/>
    </row>
    <row r="386" spans="8:8" ht="21.6" customHeight="1" x14ac:dyDescent="0.25">
      <c r="H386" s="28"/>
    </row>
    <row r="387" spans="8:8" ht="21.6" customHeight="1" x14ac:dyDescent="0.25">
      <c r="H387" s="28"/>
    </row>
    <row r="388" spans="8:8" ht="21.6" customHeight="1" x14ac:dyDescent="0.25">
      <c r="H388" s="28"/>
    </row>
    <row r="389" spans="8:8" ht="21.6" customHeight="1" x14ac:dyDescent="0.25">
      <c r="H389" s="28"/>
    </row>
    <row r="390" spans="8:8" ht="21.6" customHeight="1" x14ac:dyDescent="0.25">
      <c r="H390" s="28"/>
    </row>
    <row r="391" spans="8:8" ht="21.6" customHeight="1" x14ac:dyDescent="0.25">
      <c r="H391" s="28"/>
    </row>
    <row r="392" spans="8:8" ht="21.6" customHeight="1" x14ac:dyDescent="0.25">
      <c r="H392" s="28"/>
    </row>
    <row r="393" spans="8:8" ht="21.6" customHeight="1" x14ac:dyDescent="0.25">
      <c r="H393" s="28"/>
    </row>
    <row r="394" spans="8:8" ht="21.6" customHeight="1" x14ac:dyDescent="0.25">
      <c r="H394" s="28"/>
    </row>
    <row r="395" spans="8:8" ht="21.6" customHeight="1" x14ac:dyDescent="0.25">
      <c r="H395" s="28"/>
    </row>
    <row r="396" spans="8:8" ht="21.6" customHeight="1" x14ac:dyDescent="0.25">
      <c r="H396" s="28"/>
    </row>
    <row r="397" spans="8:8" ht="21.6" customHeight="1" x14ac:dyDescent="0.25">
      <c r="H397" s="28"/>
    </row>
    <row r="398" spans="8:8" ht="21.6" customHeight="1" x14ac:dyDescent="0.25">
      <c r="H398" s="28"/>
    </row>
    <row r="399" spans="8:8" ht="21.6" customHeight="1" x14ac:dyDescent="0.25">
      <c r="H399" s="28"/>
    </row>
    <row r="400" spans="8:8" ht="21.6" customHeight="1" x14ac:dyDescent="0.25">
      <c r="H400" s="28"/>
    </row>
    <row r="401" spans="8:8" ht="21.6" customHeight="1" x14ac:dyDescent="0.25">
      <c r="H401" s="28"/>
    </row>
    <row r="402" spans="8:8" ht="21.6" customHeight="1" x14ac:dyDescent="0.25">
      <c r="H402" s="28"/>
    </row>
    <row r="403" spans="8:8" ht="21.6" customHeight="1" x14ac:dyDescent="0.25">
      <c r="H403" s="28"/>
    </row>
    <row r="404" spans="8:8" ht="21.6" customHeight="1" x14ac:dyDescent="0.25">
      <c r="H404" s="28"/>
    </row>
    <row r="405" spans="8:8" ht="21.6" customHeight="1" x14ac:dyDescent="0.25">
      <c r="H405" s="28"/>
    </row>
    <row r="406" spans="8:8" ht="21.6" customHeight="1" x14ac:dyDescent="0.25">
      <c r="H406" s="28"/>
    </row>
    <row r="407" spans="8:8" ht="21.6" customHeight="1" x14ac:dyDescent="0.25">
      <c r="H407" s="28"/>
    </row>
    <row r="408" spans="8:8" ht="21.6" customHeight="1" x14ac:dyDescent="0.25">
      <c r="H408" s="28"/>
    </row>
    <row r="409" spans="8:8" ht="21.6" customHeight="1" x14ac:dyDescent="0.25">
      <c r="H409" s="28"/>
    </row>
    <row r="410" spans="8:8" ht="21.6" customHeight="1" x14ac:dyDescent="0.25">
      <c r="H410" s="28"/>
    </row>
    <row r="411" spans="8:8" ht="21.6" customHeight="1" x14ac:dyDescent="0.25">
      <c r="H411" s="28"/>
    </row>
    <row r="412" spans="8:8" ht="21.6" customHeight="1" x14ac:dyDescent="0.25">
      <c r="H412" s="28"/>
    </row>
    <row r="413" spans="8:8" ht="21.6" customHeight="1" x14ac:dyDescent="0.25">
      <c r="H413" s="28"/>
    </row>
    <row r="414" spans="8:8" ht="21.6" customHeight="1" x14ac:dyDescent="0.25">
      <c r="H414" s="28"/>
    </row>
    <row r="415" spans="8:8" ht="21.6" customHeight="1" x14ac:dyDescent="0.25">
      <c r="H415" s="28"/>
    </row>
    <row r="416" spans="8:8" ht="21.6" customHeight="1" x14ac:dyDescent="0.25">
      <c r="H416" s="28"/>
    </row>
    <row r="417" spans="8:8" ht="21.6" customHeight="1" x14ac:dyDescent="0.25">
      <c r="H417" s="28"/>
    </row>
    <row r="418" spans="8:8" ht="21.6" customHeight="1" x14ac:dyDescent="0.25">
      <c r="H418" s="28"/>
    </row>
    <row r="419" spans="8:8" ht="21.6" customHeight="1" x14ac:dyDescent="0.25">
      <c r="H419" s="28"/>
    </row>
    <row r="420" spans="8:8" ht="21.6" customHeight="1" x14ac:dyDescent="0.25">
      <c r="H420" s="28"/>
    </row>
    <row r="421" spans="8:8" ht="21.6" customHeight="1" x14ac:dyDescent="0.25">
      <c r="H421" s="28"/>
    </row>
    <row r="422" spans="8:8" ht="21.6" customHeight="1" x14ac:dyDescent="0.25">
      <c r="H422" s="28"/>
    </row>
    <row r="423" spans="8:8" ht="21.6" customHeight="1" x14ac:dyDescent="0.25">
      <c r="H423" s="28"/>
    </row>
    <row r="424" spans="8:8" ht="21.6" customHeight="1" x14ac:dyDescent="0.25">
      <c r="H424" s="28"/>
    </row>
    <row r="425" spans="8:8" ht="21.6" customHeight="1" x14ac:dyDescent="0.25">
      <c r="H425" s="28"/>
    </row>
    <row r="426" spans="8:8" ht="21.6" customHeight="1" x14ac:dyDescent="0.25">
      <c r="H426" s="28"/>
    </row>
    <row r="427" spans="8:8" ht="21.6" customHeight="1" x14ac:dyDescent="0.25">
      <c r="H427" s="28"/>
    </row>
    <row r="428" spans="8:8" ht="21.6" customHeight="1" x14ac:dyDescent="0.25">
      <c r="H428" s="28"/>
    </row>
    <row r="429" spans="8:8" ht="21.6" customHeight="1" x14ac:dyDescent="0.25">
      <c r="H429" s="28"/>
    </row>
    <row r="430" spans="8:8" ht="21.6" customHeight="1" x14ac:dyDescent="0.25">
      <c r="H430" s="28"/>
    </row>
    <row r="431" spans="8:8" ht="21.6" customHeight="1" x14ac:dyDescent="0.25">
      <c r="H431" s="28"/>
    </row>
    <row r="432" spans="8:8" ht="21.6" customHeight="1" x14ac:dyDescent="0.25">
      <c r="H432" s="28"/>
    </row>
    <row r="433" spans="8:8" ht="21.6" customHeight="1" x14ac:dyDescent="0.25">
      <c r="H433" s="28"/>
    </row>
    <row r="434" spans="8:8" ht="21.6" customHeight="1" x14ac:dyDescent="0.25">
      <c r="H434" s="28"/>
    </row>
    <row r="435" spans="8:8" ht="21.6" customHeight="1" x14ac:dyDescent="0.25">
      <c r="H435" s="28"/>
    </row>
    <row r="436" spans="8:8" ht="21.6" customHeight="1" x14ac:dyDescent="0.25">
      <c r="H436" s="28"/>
    </row>
    <row r="437" spans="8:8" ht="21.6" customHeight="1" x14ac:dyDescent="0.25">
      <c r="H437" s="28"/>
    </row>
    <row r="438" spans="8:8" ht="21.6" customHeight="1" x14ac:dyDescent="0.25">
      <c r="H438" s="28"/>
    </row>
    <row r="439" spans="8:8" ht="21.6" customHeight="1" x14ac:dyDescent="0.25">
      <c r="H439" s="28"/>
    </row>
    <row r="440" spans="8:8" ht="21.6" customHeight="1" x14ac:dyDescent="0.25">
      <c r="H440" s="28"/>
    </row>
    <row r="441" spans="8:8" ht="21.6" customHeight="1" x14ac:dyDescent="0.25">
      <c r="H441" s="28"/>
    </row>
    <row r="442" spans="8:8" ht="21.6" customHeight="1" x14ac:dyDescent="0.25">
      <c r="H442" s="28"/>
    </row>
    <row r="443" spans="8:8" ht="21.6" customHeight="1" x14ac:dyDescent="0.25">
      <c r="H443" s="28"/>
    </row>
    <row r="444" spans="8:8" ht="21.6" customHeight="1" x14ac:dyDescent="0.25">
      <c r="H444" s="28"/>
    </row>
    <row r="445" spans="8:8" ht="21.6" customHeight="1" x14ac:dyDescent="0.25">
      <c r="H445" s="28"/>
    </row>
    <row r="446" spans="8:8" ht="21.6" customHeight="1" x14ac:dyDescent="0.25">
      <c r="H446" s="28"/>
    </row>
    <row r="447" spans="8:8" ht="21.6" customHeight="1" x14ac:dyDescent="0.25">
      <c r="H447" s="28"/>
    </row>
    <row r="448" spans="8:8" ht="21.6" customHeight="1" x14ac:dyDescent="0.25">
      <c r="H448" s="28"/>
    </row>
    <row r="449" spans="8:8" ht="21.6" customHeight="1" x14ac:dyDescent="0.25">
      <c r="H449" s="28"/>
    </row>
    <row r="450" spans="8:8" ht="21.6" customHeight="1" x14ac:dyDescent="0.25">
      <c r="H450" s="28"/>
    </row>
    <row r="451" spans="8:8" ht="21.6" customHeight="1" x14ac:dyDescent="0.25">
      <c r="H451" s="28"/>
    </row>
    <row r="452" spans="8:8" ht="21.6" customHeight="1" x14ac:dyDescent="0.25">
      <c r="H452" s="28"/>
    </row>
    <row r="453" spans="8:8" ht="21.6" customHeight="1" x14ac:dyDescent="0.25">
      <c r="H453" s="28"/>
    </row>
    <row r="454" spans="8:8" ht="21.6" customHeight="1" x14ac:dyDescent="0.25">
      <c r="H454" s="28"/>
    </row>
    <row r="455" spans="8:8" ht="21.6" customHeight="1" x14ac:dyDescent="0.25">
      <c r="H455" s="28"/>
    </row>
    <row r="456" spans="8:8" ht="21.6" customHeight="1" x14ac:dyDescent="0.25">
      <c r="H456" s="28"/>
    </row>
    <row r="457" spans="8:8" ht="21.6" customHeight="1" x14ac:dyDescent="0.25">
      <c r="H457" s="28"/>
    </row>
    <row r="458" spans="8:8" ht="21.6" customHeight="1" x14ac:dyDescent="0.25">
      <c r="H458" s="28"/>
    </row>
    <row r="459" spans="8:8" ht="21.6" customHeight="1" x14ac:dyDescent="0.25">
      <c r="H459" s="28"/>
    </row>
    <row r="460" spans="8:8" ht="21.6" customHeight="1" x14ac:dyDescent="0.25">
      <c r="H460" s="28"/>
    </row>
    <row r="461" spans="8:8" ht="21.6" customHeight="1" x14ac:dyDescent="0.25">
      <c r="H461" s="28"/>
    </row>
    <row r="462" spans="8:8" ht="21.6" customHeight="1" x14ac:dyDescent="0.25">
      <c r="H462" s="28"/>
    </row>
    <row r="463" spans="8:8" ht="21.6" customHeight="1" x14ac:dyDescent="0.25">
      <c r="H463" s="28"/>
    </row>
    <row r="464" spans="8:8" ht="21.6" customHeight="1" x14ac:dyDescent="0.25">
      <c r="H464" s="28"/>
    </row>
    <row r="465" spans="8:8" ht="21.6" customHeight="1" x14ac:dyDescent="0.25">
      <c r="H465" s="28"/>
    </row>
    <row r="466" spans="8:8" ht="21.6" customHeight="1" x14ac:dyDescent="0.25">
      <c r="H466" s="28"/>
    </row>
    <row r="467" spans="8:8" ht="21.6" customHeight="1" x14ac:dyDescent="0.25">
      <c r="H467" s="28"/>
    </row>
    <row r="468" spans="8:8" ht="21.6" customHeight="1" x14ac:dyDescent="0.25">
      <c r="H468" s="28"/>
    </row>
    <row r="469" spans="8:8" ht="21.6" customHeight="1" x14ac:dyDescent="0.25">
      <c r="H469" s="28"/>
    </row>
    <row r="470" spans="8:8" ht="21.6" customHeight="1" x14ac:dyDescent="0.25">
      <c r="H470" s="28"/>
    </row>
    <row r="471" spans="8:8" ht="21.6" customHeight="1" x14ac:dyDescent="0.25">
      <c r="H471" s="28"/>
    </row>
    <row r="472" spans="8:8" ht="21.6" customHeight="1" x14ac:dyDescent="0.25">
      <c r="H472" s="28"/>
    </row>
    <row r="473" spans="8:8" ht="21.6" customHeight="1" x14ac:dyDescent="0.25">
      <c r="H473" s="28"/>
    </row>
    <row r="474" spans="8:8" ht="21.6" customHeight="1" x14ac:dyDescent="0.25">
      <c r="H474" s="28"/>
    </row>
    <row r="475" spans="8:8" ht="21.6" customHeight="1" x14ac:dyDescent="0.25">
      <c r="H475" s="28"/>
    </row>
    <row r="476" spans="8:8" ht="21.6" customHeight="1" x14ac:dyDescent="0.25">
      <c r="H476" s="28"/>
    </row>
    <row r="477" spans="8:8" ht="21.6" customHeight="1" x14ac:dyDescent="0.25">
      <c r="H477" s="28"/>
    </row>
    <row r="478" spans="8:8" ht="21.6" customHeight="1" x14ac:dyDescent="0.25">
      <c r="H478" s="28"/>
    </row>
    <row r="479" spans="8:8" ht="21.6" customHeight="1" x14ac:dyDescent="0.25">
      <c r="H479" s="28"/>
    </row>
    <row r="480" spans="8:8" ht="21.6" customHeight="1" x14ac:dyDescent="0.25">
      <c r="H480" s="28"/>
    </row>
    <row r="481" spans="8:8" ht="21.6" customHeight="1" x14ac:dyDescent="0.25">
      <c r="H481" s="28"/>
    </row>
    <row r="482" spans="8:8" ht="21.6" customHeight="1" x14ac:dyDescent="0.25">
      <c r="H482" s="28"/>
    </row>
    <row r="483" spans="8:8" ht="21.6" customHeight="1" x14ac:dyDescent="0.25">
      <c r="H483" s="28"/>
    </row>
    <row r="484" spans="8:8" ht="21.6" customHeight="1" x14ac:dyDescent="0.25">
      <c r="H484" s="28"/>
    </row>
    <row r="485" spans="8:8" ht="21.6" customHeight="1" x14ac:dyDescent="0.25">
      <c r="H485" s="28"/>
    </row>
    <row r="486" spans="8:8" ht="21.6" customHeight="1" x14ac:dyDescent="0.25">
      <c r="H486" s="28"/>
    </row>
    <row r="487" spans="8:8" ht="21.6" customHeight="1" x14ac:dyDescent="0.25">
      <c r="H487" s="28"/>
    </row>
    <row r="488" spans="8:8" ht="21.6" customHeight="1" x14ac:dyDescent="0.25">
      <c r="H488" s="28"/>
    </row>
    <row r="489" spans="8:8" ht="21.6" customHeight="1" x14ac:dyDescent="0.25">
      <c r="H489" s="28"/>
    </row>
    <row r="490" spans="8:8" ht="21.6" customHeight="1" x14ac:dyDescent="0.25">
      <c r="H490" s="28"/>
    </row>
    <row r="491" spans="8:8" ht="21.6" customHeight="1" x14ac:dyDescent="0.25">
      <c r="H491" s="28"/>
    </row>
    <row r="492" spans="8:8" ht="21.6" customHeight="1" x14ac:dyDescent="0.25">
      <c r="H492" s="28"/>
    </row>
    <row r="493" spans="8:8" ht="21.6" customHeight="1" x14ac:dyDescent="0.25">
      <c r="H493" s="28"/>
    </row>
    <row r="494" spans="8:8" ht="21.6" customHeight="1" x14ac:dyDescent="0.25">
      <c r="H494" s="28"/>
    </row>
    <row r="495" spans="8:8" ht="21.6" customHeight="1" x14ac:dyDescent="0.25">
      <c r="H495" s="28"/>
    </row>
    <row r="496" spans="8:8" ht="21.6" customHeight="1" x14ac:dyDescent="0.25">
      <c r="H496" s="28"/>
    </row>
    <row r="497" spans="8:8" ht="21.6" customHeight="1" x14ac:dyDescent="0.25">
      <c r="H497" s="28"/>
    </row>
    <row r="498" spans="8:8" ht="21.6" customHeight="1" x14ac:dyDescent="0.25">
      <c r="H498" s="28"/>
    </row>
    <row r="499" spans="8:8" ht="21.6" customHeight="1" x14ac:dyDescent="0.25">
      <c r="H499" s="28"/>
    </row>
    <row r="500" spans="8:8" ht="21.6" customHeight="1" x14ac:dyDescent="0.25">
      <c r="H500" s="28"/>
    </row>
    <row r="501" spans="8:8" ht="21.6" customHeight="1" x14ac:dyDescent="0.25">
      <c r="H501" s="28"/>
    </row>
    <row r="502" spans="8:8" ht="21.6" customHeight="1" x14ac:dyDescent="0.25">
      <c r="H502" s="28"/>
    </row>
    <row r="503" spans="8:8" ht="21.6" customHeight="1" x14ac:dyDescent="0.25">
      <c r="H503" s="28"/>
    </row>
    <row r="504" spans="8:8" ht="21.6" customHeight="1" x14ac:dyDescent="0.25">
      <c r="H504" s="28"/>
    </row>
    <row r="505" spans="8:8" ht="21.6" customHeight="1" x14ac:dyDescent="0.25">
      <c r="H505" s="28"/>
    </row>
    <row r="506" spans="8:8" ht="21.6" customHeight="1" x14ac:dyDescent="0.25">
      <c r="H506" s="28"/>
    </row>
    <row r="507" spans="8:8" ht="21.6" customHeight="1" x14ac:dyDescent="0.25">
      <c r="H507" s="28"/>
    </row>
    <row r="508" spans="8:8" ht="21.6" customHeight="1" x14ac:dyDescent="0.25">
      <c r="H508" s="28"/>
    </row>
    <row r="509" spans="8:8" ht="21.6" customHeight="1" x14ac:dyDescent="0.25">
      <c r="H509" s="28"/>
    </row>
    <row r="510" spans="8:8" ht="21.6" customHeight="1" x14ac:dyDescent="0.25">
      <c r="H510" s="28"/>
    </row>
    <row r="511" spans="8:8" ht="21.6" customHeight="1" x14ac:dyDescent="0.25">
      <c r="H511" s="28"/>
    </row>
    <row r="512" spans="8:8" ht="21.6" customHeight="1" x14ac:dyDescent="0.25">
      <c r="H512" s="28"/>
    </row>
    <row r="513" spans="8:8" ht="21.6" customHeight="1" x14ac:dyDescent="0.25">
      <c r="H513" s="28"/>
    </row>
    <row r="514" spans="8:8" ht="21.6" customHeight="1" x14ac:dyDescent="0.25">
      <c r="H514" s="28"/>
    </row>
    <row r="515" spans="8:8" ht="21.6" customHeight="1" x14ac:dyDescent="0.25">
      <c r="H515" s="28"/>
    </row>
    <row r="516" spans="8:8" ht="21.6" customHeight="1" x14ac:dyDescent="0.25">
      <c r="H516" s="28"/>
    </row>
    <row r="517" spans="8:8" ht="21.6" customHeight="1" x14ac:dyDescent="0.25">
      <c r="H517" s="28"/>
    </row>
    <row r="518" spans="8:8" ht="21.6" customHeight="1" x14ac:dyDescent="0.25">
      <c r="H518" s="28"/>
    </row>
    <row r="519" spans="8:8" ht="21.6" customHeight="1" x14ac:dyDescent="0.25">
      <c r="H519" s="28"/>
    </row>
    <row r="520" spans="8:8" ht="21.6" customHeight="1" x14ac:dyDescent="0.25">
      <c r="H520" s="28"/>
    </row>
    <row r="521" spans="8:8" ht="21.6" customHeight="1" x14ac:dyDescent="0.25">
      <c r="H521" s="28"/>
    </row>
    <row r="522" spans="8:8" ht="21.6" customHeight="1" x14ac:dyDescent="0.25">
      <c r="H522" s="28"/>
    </row>
    <row r="523" spans="8:8" ht="21.6" customHeight="1" x14ac:dyDescent="0.25">
      <c r="H523" s="28"/>
    </row>
    <row r="524" spans="8:8" ht="21.6" customHeight="1" x14ac:dyDescent="0.25">
      <c r="H524" s="28"/>
    </row>
    <row r="525" spans="8:8" ht="21.6" customHeight="1" x14ac:dyDescent="0.25">
      <c r="H525" s="28"/>
    </row>
    <row r="526" spans="8:8" ht="21.6" customHeight="1" x14ac:dyDescent="0.25">
      <c r="H526" s="28"/>
    </row>
    <row r="527" spans="8:8" ht="21.6" customHeight="1" x14ac:dyDescent="0.25">
      <c r="H527" s="28"/>
    </row>
    <row r="528" spans="8:8" ht="21.6" customHeight="1" x14ac:dyDescent="0.25">
      <c r="H528" s="28"/>
    </row>
    <row r="529" spans="8:8" ht="21.6" customHeight="1" x14ac:dyDescent="0.25">
      <c r="H529" s="28"/>
    </row>
    <row r="530" spans="8:8" ht="21.6" customHeight="1" x14ac:dyDescent="0.25">
      <c r="H530" s="28"/>
    </row>
    <row r="531" spans="8:8" ht="21.6" customHeight="1" x14ac:dyDescent="0.25">
      <c r="H531" s="28"/>
    </row>
    <row r="532" spans="8:8" ht="21.6" customHeight="1" x14ac:dyDescent="0.25">
      <c r="H532" s="28"/>
    </row>
    <row r="533" spans="8:8" ht="21.6" customHeight="1" x14ac:dyDescent="0.25">
      <c r="H533" s="28"/>
    </row>
    <row r="534" spans="8:8" ht="21.6" customHeight="1" x14ac:dyDescent="0.25">
      <c r="H534" s="28"/>
    </row>
    <row r="535" spans="8:8" ht="21.6" customHeight="1" x14ac:dyDescent="0.25">
      <c r="H535" s="28"/>
    </row>
    <row r="536" spans="8:8" ht="21.6" customHeight="1" x14ac:dyDescent="0.25">
      <c r="H536" s="28"/>
    </row>
    <row r="537" spans="8:8" ht="21.6" customHeight="1" x14ac:dyDescent="0.25">
      <c r="H537" s="28"/>
    </row>
    <row r="538" spans="8:8" ht="21.6" customHeight="1" x14ac:dyDescent="0.25">
      <c r="H538" s="28"/>
    </row>
    <row r="539" spans="8:8" ht="21.6" customHeight="1" x14ac:dyDescent="0.25">
      <c r="H539" s="28"/>
    </row>
    <row r="540" spans="8:8" ht="21.6" customHeight="1" x14ac:dyDescent="0.25">
      <c r="H540" s="28"/>
    </row>
    <row r="541" spans="8:8" ht="21.6" customHeight="1" x14ac:dyDescent="0.25">
      <c r="H541" s="28"/>
    </row>
    <row r="542" spans="8:8" ht="21.6" customHeight="1" x14ac:dyDescent="0.25">
      <c r="H542" s="28"/>
    </row>
    <row r="543" spans="8:8" ht="21.6" customHeight="1" x14ac:dyDescent="0.25">
      <c r="H543" s="28"/>
    </row>
    <row r="544" spans="8:8" ht="21.6" customHeight="1" x14ac:dyDescent="0.25">
      <c r="H544" s="28"/>
    </row>
    <row r="545" spans="8:8" ht="21.6" customHeight="1" x14ac:dyDescent="0.25">
      <c r="H545" s="28"/>
    </row>
    <row r="546" spans="8:8" ht="21.6" customHeight="1" x14ac:dyDescent="0.25">
      <c r="H546" s="28"/>
    </row>
    <row r="547" spans="8:8" ht="21.6" customHeight="1" x14ac:dyDescent="0.25">
      <c r="H547" s="28"/>
    </row>
    <row r="548" spans="8:8" ht="21.6" customHeight="1" x14ac:dyDescent="0.25">
      <c r="H548" s="28"/>
    </row>
    <row r="549" spans="8:8" ht="21.6" customHeight="1" x14ac:dyDescent="0.25">
      <c r="H549" s="28"/>
    </row>
    <row r="550" spans="8:8" ht="21.6" customHeight="1" x14ac:dyDescent="0.25">
      <c r="H550" s="28"/>
    </row>
    <row r="551" spans="8:8" ht="21.6" customHeight="1" x14ac:dyDescent="0.25">
      <c r="H551" s="28"/>
    </row>
    <row r="552" spans="8:8" ht="21.6" customHeight="1" x14ac:dyDescent="0.25">
      <c r="H552" s="28"/>
    </row>
    <row r="553" spans="8:8" ht="21.6" customHeight="1" x14ac:dyDescent="0.25">
      <c r="H553" s="28"/>
    </row>
    <row r="554" spans="8:8" ht="21.6" customHeight="1" x14ac:dyDescent="0.25">
      <c r="H554" s="28"/>
    </row>
    <row r="555" spans="8:8" ht="21.6" customHeight="1" x14ac:dyDescent="0.25">
      <c r="H555" s="28"/>
    </row>
    <row r="556" spans="8:8" ht="21.6" customHeight="1" x14ac:dyDescent="0.25">
      <c r="H556" s="28"/>
    </row>
    <row r="557" spans="8:8" ht="21.6" customHeight="1" x14ac:dyDescent="0.25">
      <c r="H557" s="28"/>
    </row>
    <row r="558" spans="8:8" ht="21.6" customHeight="1" x14ac:dyDescent="0.25">
      <c r="H558" s="28"/>
    </row>
    <row r="559" spans="8:8" ht="21.6" customHeight="1" x14ac:dyDescent="0.25">
      <c r="H559" s="28"/>
    </row>
    <row r="560" spans="8:8" ht="21.6" customHeight="1" x14ac:dyDescent="0.25">
      <c r="H560" s="28"/>
    </row>
    <row r="561" spans="8:8" ht="21.6" customHeight="1" x14ac:dyDescent="0.25">
      <c r="H561" s="28"/>
    </row>
    <row r="562" spans="8:8" ht="21.6" customHeight="1" x14ac:dyDescent="0.25">
      <c r="H562" s="28"/>
    </row>
    <row r="563" spans="8:8" ht="21.6" customHeight="1" x14ac:dyDescent="0.25">
      <c r="H563" s="28"/>
    </row>
    <row r="564" spans="8:8" ht="21.6" customHeight="1" x14ac:dyDescent="0.25">
      <c r="H564" s="28"/>
    </row>
    <row r="565" spans="8:8" ht="21.6" customHeight="1" x14ac:dyDescent="0.25">
      <c r="H565" s="28"/>
    </row>
    <row r="566" spans="8:8" ht="21.6" customHeight="1" x14ac:dyDescent="0.25">
      <c r="H566" s="28"/>
    </row>
    <row r="567" spans="8:8" ht="21.6" customHeight="1" x14ac:dyDescent="0.25">
      <c r="H567" s="28"/>
    </row>
    <row r="568" spans="8:8" ht="21.6" customHeight="1" x14ac:dyDescent="0.25">
      <c r="H568" s="28"/>
    </row>
    <row r="569" spans="8:8" ht="21.6" customHeight="1" x14ac:dyDescent="0.25">
      <c r="H569" s="28"/>
    </row>
    <row r="570" spans="8:8" ht="21.6" customHeight="1" x14ac:dyDescent="0.25">
      <c r="H570" s="28"/>
    </row>
    <row r="571" spans="8:8" ht="21.6" customHeight="1" x14ac:dyDescent="0.25">
      <c r="H571" s="28"/>
    </row>
    <row r="572" spans="8:8" ht="21.6" customHeight="1" x14ac:dyDescent="0.25">
      <c r="H572" s="28"/>
    </row>
    <row r="573" spans="8:8" ht="21.6" customHeight="1" x14ac:dyDescent="0.25">
      <c r="H573" s="28"/>
    </row>
    <row r="574" spans="8:8" ht="21.6" customHeight="1" x14ac:dyDescent="0.25">
      <c r="H574" s="28"/>
    </row>
    <row r="575" spans="8:8" ht="21.6" customHeight="1" x14ac:dyDescent="0.25">
      <c r="H575" s="28"/>
    </row>
    <row r="576" spans="8:8" ht="21.6" customHeight="1" x14ac:dyDescent="0.25">
      <c r="H576" s="28"/>
    </row>
    <row r="577" spans="8:8" ht="21.6" customHeight="1" x14ac:dyDescent="0.25">
      <c r="H577" s="28"/>
    </row>
    <row r="578" spans="8:8" ht="21.6" customHeight="1" x14ac:dyDescent="0.25">
      <c r="H578" s="28"/>
    </row>
    <row r="579" spans="8:8" ht="21.6" customHeight="1" x14ac:dyDescent="0.25">
      <c r="H579" s="28"/>
    </row>
    <row r="580" spans="8:8" ht="21.6" customHeight="1" x14ac:dyDescent="0.25">
      <c r="H580" s="28"/>
    </row>
    <row r="581" spans="8:8" ht="21.6" customHeight="1" x14ac:dyDescent="0.25">
      <c r="H581" s="28"/>
    </row>
    <row r="582" spans="8:8" ht="21.6" customHeight="1" x14ac:dyDescent="0.25">
      <c r="H582" s="28"/>
    </row>
    <row r="583" spans="8:8" ht="21.6" customHeight="1" x14ac:dyDescent="0.25">
      <c r="H583" s="28"/>
    </row>
    <row r="584" spans="8:8" ht="21.6" customHeight="1" x14ac:dyDescent="0.25">
      <c r="H584" s="28"/>
    </row>
    <row r="585" spans="8:8" ht="21.6" customHeight="1" x14ac:dyDescent="0.25">
      <c r="H585" s="28"/>
    </row>
    <row r="586" spans="8:8" ht="21.6" customHeight="1" x14ac:dyDescent="0.25">
      <c r="H586" s="28"/>
    </row>
    <row r="587" spans="8:8" ht="21.6" customHeight="1" x14ac:dyDescent="0.25">
      <c r="H587" s="28"/>
    </row>
    <row r="588" spans="8:8" ht="21.6" customHeight="1" x14ac:dyDescent="0.25">
      <c r="H588" s="28"/>
    </row>
    <row r="589" spans="8:8" ht="21.6" customHeight="1" x14ac:dyDescent="0.25">
      <c r="H589" s="28"/>
    </row>
    <row r="590" spans="8:8" ht="21.6" customHeight="1" x14ac:dyDescent="0.25">
      <c r="H590" s="28"/>
    </row>
    <row r="591" spans="8:8" ht="21.6" customHeight="1" x14ac:dyDescent="0.25">
      <c r="H591" s="28"/>
    </row>
    <row r="592" spans="8:8" ht="21.6" customHeight="1" x14ac:dyDescent="0.25">
      <c r="H592" s="28"/>
    </row>
    <row r="593" spans="8:8" ht="21.6" customHeight="1" x14ac:dyDescent="0.25">
      <c r="H593" s="28"/>
    </row>
    <row r="594" spans="8:8" ht="21.6" customHeight="1" x14ac:dyDescent="0.25">
      <c r="H594" s="28"/>
    </row>
    <row r="595" spans="8:8" ht="21.6" customHeight="1" x14ac:dyDescent="0.25">
      <c r="H595" s="28"/>
    </row>
    <row r="596" spans="8:8" ht="21.6" customHeight="1" x14ac:dyDescent="0.25">
      <c r="H596" s="28"/>
    </row>
    <row r="597" spans="8:8" ht="21.6" customHeight="1" x14ac:dyDescent="0.25">
      <c r="H597" s="28"/>
    </row>
    <row r="598" spans="8:8" ht="21.6" customHeight="1" x14ac:dyDescent="0.25">
      <c r="H598" s="28"/>
    </row>
    <row r="599" spans="8:8" ht="21.6" customHeight="1" x14ac:dyDescent="0.25">
      <c r="H599" s="28"/>
    </row>
    <row r="600" spans="8:8" ht="21.6" customHeight="1" x14ac:dyDescent="0.25">
      <c r="H600" s="28"/>
    </row>
    <row r="601" spans="8:8" ht="21.6" customHeight="1" x14ac:dyDescent="0.25">
      <c r="H601" s="28"/>
    </row>
    <row r="602" spans="8:8" ht="21.6" customHeight="1" x14ac:dyDescent="0.25">
      <c r="H602" s="28"/>
    </row>
    <row r="603" spans="8:8" ht="21.6" customHeight="1" x14ac:dyDescent="0.25">
      <c r="H603" s="28"/>
    </row>
    <row r="604" spans="8:8" ht="21.6" customHeight="1" x14ac:dyDescent="0.25">
      <c r="H604" s="28"/>
    </row>
    <row r="605" spans="8:8" ht="21.6" customHeight="1" x14ac:dyDescent="0.25">
      <c r="H605" s="28"/>
    </row>
    <row r="606" spans="8:8" ht="21.6" customHeight="1" x14ac:dyDescent="0.25">
      <c r="H606" s="28"/>
    </row>
    <row r="607" spans="8:8" ht="21.6" customHeight="1" x14ac:dyDescent="0.25">
      <c r="H607" s="28"/>
    </row>
    <row r="608" spans="8:8" ht="21.6" customHeight="1" x14ac:dyDescent="0.25">
      <c r="H608" s="28"/>
    </row>
    <row r="609" spans="8:8" ht="21.6" customHeight="1" x14ac:dyDescent="0.25">
      <c r="H609" s="28"/>
    </row>
    <row r="610" spans="8:8" ht="21.6" customHeight="1" x14ac:dyDescent="0.25">
      <c r="H610" s="28"/>
    </row>
    <row r="611" spans="8:8" ht="21.6" customHeight="1" x14ac:dyDescent="0.25">
      <c r="H611" s="28"/>
    </row>
    <row r="612" spans="8:8" ht="21.6" customHeight="1" x14ac:dyDescent="0.25">
      <c r="H612" s="28"/>
    </row>
    <row r="613" spans="8:8" ht="21.6" customHeight="1" x14ac:dyDescent="0.25">
      <c r="H613" s="28"/>
    </row>
    <row r="614" spans="8:8" ht="21.6" customHeight="1" x14ac:dyDescent="0.25">
      <c r="H614" s="28"/>
    </row>
    <row r="615" spans="8:8" ht="21.6" customHeight="1" x14ac:dyDescent="0.25">
      <c r="H615" s="28"/>
    </row>
    <row r="616" spans="8:8" ht="21.6" customHeight="1" x14ac:dyDescent="0.25">
      <c r="H616" s="28"/>
    </row>
    <row r="617" spans="8:8" ht="21.6" customHeight="1" x14ac:dyDescent="0.25">
      <c r="H617" s="28"/>
    </row>
    <row r="618" spans="8:8" ht="21.6" customHeight="1" x14ac:dyDescent="0.25">
      <c r="H618" s="28"/>
    </row>
    <row r="619" spans="8:8" ht="21.6" customHeight="1" x14ac:dyDescent="0.25">
      <c r="H619" s="28"/>
    </row>
    <row r="620" spans="8:8" ht="21.6" customHeight="1" x14ac:dyDescent="0.25">
      <c r="H620" s="28"/>
    </row>
    <row r="621" spans="8:8" ht="21.6" customHeight="1" x14ac:dyDescent="0.25">
      <c r="H621" s="28"/>
    </row>
    <row r="622" spans="8:8" ht="21.6" customHeight="1" x14ac:dyDescent="0.25">
      <c r="H622" s="28"/>
    </row>
    <row r="623" spans="8:8" ht="21.6" customHeight="1" x14ac:dyDescent="0.25">
      <c r="H623" s="28"/>
    </row>
    <row r="624" spans="8:8" ht="21.6" customHeight="1" x14ac:dyDescent="0.25">
      <c r="H624" s="28"/>
    </row>
    <row r="625" spans="8:8" ht="21.6" customHeight="1" x14ac:dyDescent="0.25">
      <c r="H625" s="28"/>
    </row>
    <row r="626" spans="8:8" ht="21.6" customHeight="1" x14ac:dyDescent="0.25">
      <c r="H626" s="28"/>
    </row>
    <row r="627" spans="8:8" ht="21.6" customHeight="1" x14ac:dyDescent="0.25">
      <c r="H627" s="28"/>
    </row>
    <row r="628" spans="8:8" ht="21.6" customHeight="1" x14ac:dyDescent="0.25">
      <c r="H628" s="28"/>
    </row>
    <row r="629" spans="8:8" ht="21.6" customHeight="1" x14ac:dyDescent="0.25">
      <c r="H629" s="28"/>
    </row>
    <row r="630" spans="8:8" ht="21.6" customHeight="1" x14ac:dyDescent="0.25">
      <c r="H630" s="28"/>
    </row>
    <row r="631" spans="8:8" ht="21.6" customHeight="1" x14ac:dyDescent="0.25">
      <c r="H631" s="28"/>
    </row>
    <row r="632" spans="8:8" ht="21.6" customHeight="1" x14ac:dyDescent="0.25">
      <c r="H632" s="28"/>
    </row>
    <row r="633" spans="8:8" ht="21.6" customHeight="1" x14ac:dyDescent="0.25">
      <c r="H633" s="28"/>
    </row>
    <row r="634" spans="8:8" ht="21.6" customHeight="1" x14ac:dyDescent="0.25">
      <c r="H634" s="28"/>
    </row>
    <row r="635" spans="8:8" ht="21.6" customHeight="1" x14ac:dyDescent="0.25">
      <c r="H635" s="28"/>
    </row>
    <row r="636" spans="8:8" ht="21.6" customHeight="1" x14ac:dyDescent="0.25">
      <c r="H636" s="28"/>
    </row>
    <row r="637" spans="8:8" ht="21.6" customHeight="1" x14ac:dyDescent="0.25">
      <c r="H637" s="28"/>
    </row>
    <row r="638" spans="8:8" ht="21.6" customHeight="1" x14ac:dyDescent="0.25">
      <c r="H638" s="28"/>
    </row>
    <row r="639" spans="8:8" ht="21.6" customHeight="1" x14ac:dyDescent="0.25">
      <c r="H639" s="28"/>
    </row>
    <row r="640" spans="8:8" ht="21.6" customHeight="1" x14ac:dyDescent="0.25">
      <c r="H640" s="28"/>
    </row>
    <row r="641" spans="8:8" ht="21.6" customHeight="1" x14ac:dyDescent="0.25">
      <c r="H641" s="28"/>
    </row>
    <row r="642" spans="8:8" ht="21.6" customHeight="1" x14ac:dyDescent="0.25">
      <c r="H642" s="28"/>
    </row>
    <row r="643" spans="8:8" ht="21.6" customHeight="1" x14ac:dyDescent="0.25">
      <c r="H643" s="28"/>
    </row>
    <row r="644" spans="8:8" ht="21.6" customHeight="1" x14ac:dyDescent="0.25">
      <c r="H644" s="28"/>
    </row>
    <row r="645" spans="8:8" ht="21.6" customHeight="1" x14ac:dyDescent="0.25">
      <c r="H645" s="28"/>
    </row>
    <row r="646" spans="8:8" ht="21.6" customHeight="1" x14ac:dyDescent="0.25">
      <c r="H646" s="28"/>
    </row>
    <row r="647" spans="8:8" ht="21.6" customHeight="1" x14ac:dyDescent="0.25">
      <c r="H647" s="28"/>
    </row>
    <row r="648" spans="8:8" ht="21.6" customHeight="1" x14ac:dyDescent="0.25">
      <c r="H648" s="28"/>
    </row>
    <row r="649" spans="8:8" ht="21.6" customHeight="1" x14ac:dyDescent="0.25">
      <c r="H649" s="28"/>
    </row>
    <row r="650" spans="8:8" ht="21.6" customHeight="1" x14ac:dyDescent="0.25">
      <c r="H650" s="28"/>
    </row>
    <row r="651" spans="8:8" ht="21.6" customHeight="1" x14ac:dyDescent="0.25">
      <c r="H651" s="28"/>
    </row>
    <row r="652" spans="8:8" ht="21.6" customHeight="1" x14ac:dyDescent="0.25">
      <c r="H652" s="28"/>
    </row>
    <row r="653" spans="8:8" ht="21.6" customHeight="1" x14ac:dyDescent="0.25">
      <c r="H653" s="28"/>
    </row>
    <row r="654" spans="8:8" ht="21.6" customHeight="1" x14ac:dyDescent="0.25">
      <c r="H654" s="28"/>
    </row>
    <row r="655" spans="8:8" ht="21.6" customHeight="1" x14ac:dyDescent="0.25">
      <c r="H655" s="28"/>
    </row>
    <row r="656" spans="8:8" ht="21.6" customHeight="1" x14ac:dyDescent="0.25">
      <c r="H656" s="28"/>
    </row>
    <row r="657" spans="8:8" ht="21.6" customHeight="1" x14ac:dyDescent="0.25">
      <c r="H657" s="28"/>
    </row>
    <row r="658" spans="8:8" ht="21.6" customHeight="1" x14ac:dyDescent="0.25">
      <c r="H658" s="28"/>
    </row>
    <row r="659" spans="8:8" ht="21.6" customHeight="1" x14ac:dyDescent="0.25">
      <c r="H659" s="28"/>
    </row>
    <row r="660" spans="8:8" ht="21.6" customHeight="1" x14ac:dyDescent="0.25">
      <c r="H660" s="28"/>
    </row>
    <row r="661" spans="8:8" ht="21.6" customHeight="1" x14ac:dyDescent="0.25">
      <c r="H661" s="28"/>
    </row>
    <row r="662" spans="8:8" ht="21.6" customHeight="1" x14ac:dyDescent="0.25">
      <c r="H662" s="28"/>
    </row>
    <row r="663" spans="8:8" ht="21.6" customHeight="1" x14ac:dyDescent="0.25">
      <c r="H663" s="28"/>
    </row>
    <row r="664" spans="8:8" ht="21.6" customHeight="1" x14ac:dyDescent="0.25">
      <c r="H664" s="28"/>
    </row>
    <row r="665" spans="8:8" ht="21.6" customHeight="1" x14ac:dyDescent="0.25">
      <c r="H665" s="28"/>
    </row>
    <row r="666" spans="8:8" ht="21.6" customHeight="1" x14ac:dyDescent="0.25">
      <c r="H666" s="28"/>
    </row>
    <row r="667" spans="8:8" ht="21.6" customHeight="1" x14ac:dyDescent="0.25">
      <c r="H667" s="28"/>
    </row>
    <row r="668" spans="8:8" ht="21.6" customHeight="1" x14ac:dyDescent="0.25">
      <c r="H668" s="28"/>
    </row>
    <row r="669" spans="8:8" ht="21.6" customHeight="1" x14ac:dyDescent="0.25">
      <c r="H669" s="28"/>
    </row>
    <row r="670" spans="8:8" ht="21.6" customHeight="1" x14ac:dyDescent="0.25">
      <c r="H670" s="28"/>
    </row>
    <row r="671" spans="8:8" ht="21.6" customHeight="1" x14ac:dyDescent="0.25">
      <c r="H671" s="28"/>
    </row>
    <row r="672" spans="8:8" ht="21.6" customHeight="1" x14ac:dyDescent="0.25">
      <c r="H672" s="28"/>
    </row>
    <row r="673" spans="8:8" ht="21.6" customHeight="1" x14ac:dyDescent="0.25">
      <c r="H673" s="28"/>
    </row>
    <row r="674" spans="8:8" ht="21.6" customHeight="1" x14ac:dyDescent="0.25">
      <c r="H674" s="28"/>
    </row>
    <row r="675" spans="8:8" ht="21.6" customHeight="1" x14ac:dyDescent="0.25">
      <c r="H675" s="28"/>
    </row>
    <row r="676" spans="8:8" ht="21.6" customHeight="1" x14ac:dyDescent="0.25">
      <c r="H676" s="28"/>
    </row>
    <row r="677" spans="8:8" ht="21.6" customHeight="1" x14ac:dyDescent="0.25">
      <c r="H677" s="28"/>
    </row>
    <row r="678" spans="8:8" ht="21.6" customHeight="1" x14ac:dyDescent="0.25">
      <c r="H678" s="28"/>
    </row>
    <row r="679" spans="8:8" ht="21.6" customHeight="1" x14ac:dyDescent="0.25">
      <c r="H679" s="28"/>
    </row>
    <row r="680" spans="8:8" ht="21.6" customHeight="1" x14ac:dyDescent="0.25">
      <c r="H680" s="28"/>
    </row>
    <row r="681" spans="8:8" ht="21.6" customHeight="1" x14ac:dyDescent="0.25">
      <c r="H681" s="28"/>
    </row>
    <row r="682" spans="8:8" ht="21.6" customHeight="1" x14ac:dyDescent="0.25">
      <c r="H682" s="28"/>
    </row>
    <row r="683" spans="8:8" ht="21.6" customHeight="1" x14ac:dyDescent="0.25">
      <c r="H683" s="28"/>
    </row>
    <row r="684" spans="8:8" ht="21.6" customHeight="1" x14ac:dyDescent="0.25">
      <c r="H684" s="28"/>
    </row>
    <row r="685" spans="8:8" ht="21.6" customHeight="1" x14ac:dyDescent="0.25">
      <c r="H685" s="28"/>
    </row>
    <row r="686" spans="8:8" ht="21.6" customHeight="1" x14ac:dyDescent="0.25">
      <c r="H686" s="28"/>
    </row>
    <row r="687" spans="8:8" ht="21.6" customHeight="1" x14ac:dyDescent="0.25">
      <c r="H687" s="28"/>
    </row>
    <row r="688" spans="8:8" ht="21.6" customHeight="1" x14ac:dyDescent="0.25">
      <c r="H688" s="28"/>
    </row>
    <row r="689" spans="8:8" ht="21.6" customHeight="1" x14ac:dyDescent="0.25">
      <c r="H689" s="28"/>
    </row>
    <row r="690" spans="8:8" ht="21.6" customHeight="1" x14ac:dyDescent="0.25">
      <c r="H690" s="28"/>
    </row>
    <row r="691" spans="8:8" ht="21.6" customHeight="1" x14ac:dyDescent="0.25">
      <c r="H691" s="28"/>
    </row>
    <row r="692" spans="8:8" ht="21.6" customHeight="1" x14ac:dyDescent="0.25">
      <c r="H692" s="28"/>
    </row>
    <row r="693" spans="8:8" ht="21.6" customHeight="1" x14ac:dyDescent="0.25">
      <c r="H693" s="28"/>
    </row>
    <row r="694" spans="8:8" ht="21.6" customHeight="1" x14ac:dyDescent="0.25">
      <c r="H694" s="28"/>
    </row>
    <row r="695" spans="8:8" ht="21.6" customHeight="1" x14ac:dyDescent="0.25">
      <c r="H695" s="28"/>
    </row>
    <row r="696" spans="8:8" ht="21.6" customHeight="1" x14ac:dyDescent="0.25">
      <c r="H696" s="28"/>
    </row>
    <row r="697" spans="8:8" ht="21.6" customHeight="1" x14ac:dyDescent="0.25">
      <c r="H697" s="28"/>
    </row>
    <row r="698" spans="8:8" ht="21.6" customHeight="1" x14ac:dyDescent="0.25">
      <c r="H698" s="28"/>
    </row>
    <row r="699" spans="8:8" ht="21.6" customHeight="1" x14ac:dyDescent="0.25">
      <c r="H699" s="28"/>
    </row>
    <row r="700" spans="8:8" ht="21.6" customHeight="1" x14ac:dyDescent="0.25">
      <c r="H700" s="28"/>
    </row>
    <row r="701" spans="8:8" ht="21.6" customHeight="1" x14ac:dyDescent="0.25">
      <c r="H701" s="28"/>
    </row>
    <row r="702" spans="8:8" ht="21.6" customHeight="1" x14ac:dyDescent="0.25">
      <c r="H702" s="28"/>
    </row>
    <row r="703" spans="8:8" ht="21.6" customHeight="1" x14ac:dyDescent="0.25">
      <c r="H703" s="28"/>
    </row>
    <row r="704" spans="8:8" ht="21.6" customHeight="1" x14ac:dyDescent="0.25">
      <c r="H704" s="28"/>
    </row>
    <row r="705" spans="8:8" ht="21.6" customHeight="1" x14ac:dyDescent="0.25">
      <c r="H705" s="28"/>
    </row>
    <row r="706" spans="8:8" ht="21.6" customHeight="1" x14ac:dyDescent="0.25">
      <c r="H706" s="28"/>
    </row>
    <row r="707" spans="8:8" ht="21.6" customHeight="1" x14ac:dyDescent="0.25">
      <c r="H707" s="28"/>
    </row>
    <row r="708" spans="8:8" ht="21.6" customHeight="1" x14ac:dyDescent="0.25">
      <c r="H708" s="28"/>
    </row>
    <row r="709" spans="8:8" ht="21.6" customHeight="1" x14ac:dyDescent="0.25">
      <c r="H709" s="28"/>
    </row>
    <row r="710" spans="8:8" ht="21.6" customHeight="1" x14ac:dyDescent="0.25">
      <c r="H710" s="28"/>
    </row>
    <row r="711" spans="8:8" ht="21.6" customHeight="1" x14ac:dyDescent="0.25">
      <c r="H711" s="28"/>
    </row>
    <row r="712" spans="8:8" ht="21.6" customHeight="1" x14ac:dyDescent="0.25">
      <c r="H712" s="28"/>
    </row>
    <row r="713" spans="8:8" ht="21.6" customHeight="1" x14ac:dyDescent="0.25">
      <c r="H713" s="28"/>
    </row>
    <row r="714" spans="8:8" ht="21.6" customHeight="1" x14ac:dyDescent="0.25">
      <c r="H714" s="28"/>
    </row>
    <row r="715" spans="8:8" ht="21.6" customHeight="1" x14ac:dyDescent="0.25">
      <c r="H715" s="28"/>
    </row>
    <row r="716" spans="8:8" ht="21.6" customHeight="1" x14ac:dyDescent="0.25">
      <c r="H716" s="28"/>
    </row>
    <row r="717" spans="8:8" ht="21.6" customHeight="1" x14ac:dyDescent="0.25">
      <c r="H717" s="28"/>
    </row>
    <row r="718" spans="8:8" ht="21.6" customHeight="1" x14ac:dyDescent="0.25">
      <c r="H718" s="28"/>
    </row>
    <row r="719" spans="8:8" ht="21.6" customHeight="1" x14ac:dyDescent="0.25">
      <c r="H719" s="28"/>
    </row>
    <row r="720" spans="8:8" ht="21.6" customHeight="1" x14ac:dyDescent="0.25">
      <c r="H720" s="28"/>
    </row>
    <row r="721" spans="8:8" ht="21.6" customHeight="1" x14ac:dyDescent="0.25">
      <c r="H721" s="28"/>
    </row>
    <row r="722" spans="8:8" ht="21.6" customHeight="1" x14ac:dyDescent="0.25">
      <c r="H722" s="28"/>
    </row>
    <row r="723" spans="8:8" ht="21.6" customHeight="1" x14ac:dyDescent="0.25">
      <c r="H723" s="28"/>
    </row>
    <row r="724" spans="8:8" ht="21.6" customHeight="1" x14ac:dyDescent="0.25">
      <c r="H724" s="28"/>
    </row>
    <row r="725" spans="8:8" ht="21.6" customHeight="1" x14ac:dyDescent="0.25">
      <c r="H725" s="28"/>
    </row>
    <row r="726" spans="8:8" ht="21.6" customHeight="1" x14ac:dyDescent="0.25">
      <c r="H726" s="28"/>
    </row>
    <row r="727" spans="8:8" ht="21.6" customHeight="1" x14ac:dyDescent="0.25">
      <c r="H727" s="28"/>
    </row>
    <row r="728" spans="8:8" ht="21.6" customHeight="1" x14ac:dyDescent="0.25">
      <c r="H728" s="28"/>
    </row>
    <row r="729" spans="8:8" ht="21.6" customHeight="1" x14ac:dyDescent="0.25">
      <c r="H729" s="28"/>
    </row>
    <row r="730" spans="8:8" ht="21.6" customHeight="1" x14ac:dyDescent="0.25">
      <c r="H730" s="28"/>
    </row>
    <row r="731" spans="8:8" ht="21.6" customHeight="1" x14ac:dyDescent="0.25">
      <c r="H731" s="28"/>
    </row>
    <row r="732" spans="8:8" ht="21.6" customHeight="1" x14ac:dyDescent="0.25">
      <c r="H732" s="28"/>
    </row>
    <row r="733" spans="8:8" ht="21.6" customHeight="1" x14ac:dyDescent="0.25">
      <c r="H733" s="28"/>
    </row>
    <row r="734" spans="8:8" ht="21.6" customHeight="1" x14ac:dyDescent="0.25">
      <c r="H734" s="28"/>
    </row>
    <row r="735" spans="8:8" ht="21.6" customHeight="1" x14ac:dyDescent="0.25">
      <c r="H735" s="28"/>
    </row>
    <row r="736" spans="8:8" ht="21.6" customHeight="1" x14ac:dyDescent="0.25">
      <c r="H736" s="28"/>
    </row>
    <row r="737" spans="8:8" ht="21.6" customHeight="1" x14ac:dyDescent="0.25">
      <c r="H737" s="28"/>
    </row>
    <row r="738" spans="8:8" ht="21.6" customHeight="1" x14ac:dyDescent="0.25">
      <c r="H738" s="28"/>
    </row>
    <row r="739" spans="8:8" ht="21.6" customHeight="1" x14ac:dyDescent="0.25">
      <c r="H739" s="28"/>
    </row>
    <row r="740" spans="8:8" ht="21.6" customHeight="1" x14ac:dyDescent="0.25">
      <c r="H740" s="28"/>
    </row>
    <row r="741" spans="8:8" ht="21.6" customHeight="1" x14ac:dyDescent="0.25">
      <c r="H741" s="28"/>
    </row>
    <row r="742" spans="8:8" ht="21.6" customHeight="1" x14ac:dyDescent="0.25">
      <c r="H742" s="28"/>
    </row>
    <row r="743" spans="8:8" ht="21.6" customHeight="1" x14ac:dyDescent="0.25">
      <c r="H743" s="28"/>
    </row>
    <row r="744" spans="8:8" ht="21.6" customHeight="1" x14ac:dyDescent="0.25">
      <c r="H744" s="28"/>
    </row>
    <row r="745" spans="8:8" ht="21.6" customHeight="1" x14ac:dyDescent="0.25">
      <c r="H745" s="28"/>
    </row>
    <row r="746" spans="8:8" ht="21.6" customHeight="1" x14ac:dyDescent="0.25">
      <c r="H746" s="28"/>
    </row>
    <row r="747" spans="8:8" ht="21.6" customHeight="1" x14ac:dyDescent="0.25">
      <c r="H747" s="28"/>
    </row>
    <row r="748" spans="8:8" ht="21.6" customHeight="1" x14ac:dyDescent="0.25">
      <c r="H748" s="28"/>
    </row>
    <row r="749" spans="8:8" ht="21.6" customHeight="1" x14ac:dyDescent="0.25">
      <c r="H749" s="28"/>
    </row>
    <row r="750" spans="8:8" ht="21.6" customHeight="1" x14ac:dyDescent="0.25">
      <c r="H750" s="28"/>
    </row>
    <row r="751" spans="8:8" ht="21.6" customHeight="1" x14ac:dyDescent="0.25">
      <c r="H751" s="28"/>
    </row>
    <row r="752" spans="8:8" ht="21.6" customHeight="1" x14ac:dyDescent="0.25">
      <c r="H752" s="28"/>
    </row>
    <row r="753" spans="8:8" ht="21.6" customHeight="1" x14ac:dyDescent="0.25">
      <c r="H753" s="28"/>
    </row>
    <row r="754" spans="8:8" ht="21.6" customHeight="1" x14ac:dyDescent="0.25">
      <c r="H754" s="28"/>
    </row>
    <row r="755" spans="8:8" ht="21.6" customHeight="1" x14ac:dyDescent="0.25">
      <c r="H755" s="28"/>
    </row>
    <row r="756" spans="8:8" ht="21.6" customHeight="1" x14ac:dyDescent="0.25">
      <c r="H756" s="28"/>
    </row>
    <row r="757" spans="8:8" ht="21.6" customHeight="1" x14ac:dyDescent="0.25">
      <c r="H757" s="28"/>
    </row>
    <row r="758" spans="8:8" ht="21.6" customHeight="1" x14ac:dyDescent="0.25">
      <c r="H758" s="28"/>
    </row>
    <row r="759" spans="8:8" ht="21.6" customHeight="1" x14ac:dyDescent="0.25">
      <c r="H759" s="28"/>
    </row>
    <row r="760" spans="8:8" ht="21.6" customHeight="1" x14ac:dyDescent="0.25">
      <c r="H760" s="28"/>
    </row>
    <row r="761" spans="8:8" ht="21.6" customHeight="1" x14ac:dyDescent="0.25">
      <c r="H761" s="28"/>
    </row>
    <row r="762" spans="8:8" ht="21.6" customHeight="1" x14ac:dyDescent="0.25">
      <c r="H762" s="28"/>
    </row>
    <row r="763" spans="8:8" ht="21.6" customHeight="1" x14ac:dyDescent="0.25">
      <c r="H763" s="28"/>
    </row>
    <row r="764" spans="8:8" ht="21.6" customHeight="1" x14ac:dyDescent="0.25">
      <c r="H764" s="28"/>
    </row>
    <row r="765" spans="8:8" ht="21.6" customHeight="1" x14ac:dyDescent="0.25">
      <c r="H765" s="28"/>
    </row>
    <row r="766" spans="8:8" ht="21.6" customHeight="1" x14ac:dyDescent="0.25">
      <c r="H766" s="28"/>
    </row>
    <row r="767" spans="8:8" ht="21.6" customHeight="1" x14ac:dyDescent="0.25">
      <c r="H767" s="28"/>
    </row>
    <row r="768" spans="8:8" ht="21.6" customHeight="1" x14ac:dyDescent="0.25">
      <c r="H768" s="28"/>
    </row>
    <row r="769" spans="8:8" ht="21.6" customHeight="1" x14ac:dyDescent="0.25">
      <c r="H769" s="28"/>
    </row>
    <row r="770" spans="8:8" ht="21.6" customHeight="1" x14ac:dyDescent="0.25">
      <c r="H770" s="28"/>
    </row>
    <row r="771" spans="8:8" ht="21.6" customHeight="1" x14ac:dyDescent="0.25">
      <c r="H771" s="28"/>
    </row>
    <row r="772" spans="8:8" ht="21.6" customHeight="1" x14ac:dyDescent="0.25">
      <c r="H772" s="28"/>
    </row>
    <row r="773" spans="8:8" ht="21.6" customHeight="1" x14ac:dyDescent="0.25">
      <c r="H773" s="28"/>
    </row>
    <row r="774" spans="8:8" ht="21.6" customHeight="1" x14ac:dyDescent="0.25">
      <c r="H774" s="28"/>
    </row>
    <row r="775" spans="8:8" ht="21.6" customHeight="1" x14ac:dyDescent="0.25">
      <c r="H775" s="28"/>
    </row>
    <row r="776" spans="8:8" ht="21.6" customHeight="1" x14ac:dyDescent="0.25">
      <c r="H776" s="28"/>
    </row>
    <row r="777" spans="8:8" ht="21.6" customHeight="1" x14ac:dyDescent="0.25">
      <c r="H777" s="28"/>
    </row>
    <row r="778" spans="8:8" ht="21.6" customHeight="1" x14ac:dyDescent="0.25">
      <c r="H778" s="28"/>
    </row>
    <row r="779" spans="8:8" ht="21.6" customHeight="1" x14ac:dyDescent="0.25">
      <c r="H779" s="28"/>
    </row>
    <row r="780" spans="8:8" ht="21.6" customHeight="1" x14ac:dyDescent="0.25">
      <c r="H780" s="28"/>
    </row>
    <row r="781" spans="8:8" ht="21.6" customHeight="1" x14ac:dyDescent="0.25">
      <c r="H781" s="28"/>
    </row>
    <row r="782" spans="8:8" ht="21.6" customHeight="1" x14ac:dyDescent="0.25">
      <c r="H782" s="28"/>
    </row>
    <row r="783" spans="8:8" ht="21.6" customHeight="1" x14ac:dyDescent="0.25">
      <c r="H783" s="28"/>
    </row>
    <row r="784" spans="8:8" ht="21.6" customHeight="1" x14ac:dyDescent="0.25">
      <c r="H784" s="28"/>
    </row>
    <row r="785" spans="8:8" ht="21.6" customHeight="1" x14ac:dyDescent="0.25">
      <c r="H785" s="28"/>
    </row>
    <row r="786" spans="8:8" ht="21.6" customHeight="1" x14ac:dyDescent="0.25">
      <c r="H786" s="28"/>
    </row>
    <row r="787" spans="8:8" ht="21.6" customHeight="1" x14ac:dyDescent="0.25">
      <c r="H787" s="28"/>
    </row>
    <row r="788" spans="8:8" ht="21.6" customHeight="1" x14ac:dyDescent="0.25">
      <c r="H788" s="28"/>
    </row>
    <row r="789" spans="8:8" ht="21.6" customHeight="1" x14ac:dyDescent="0.25">
      <c r="H789" s="28"/>
    </row>
    <row r="790" spans="8:8" ht="21.6" customHeight="1" x14ac:dyDescent="0.25">
      <c r="H790" s="28"/>
    </row>
    <row r="791" spans="8:8" ht="21.6" customHeight="1" x14ac:dyDescent="0.25">
      <c r="H791" s="28"/>
    </row>
    <row r="792" spans="8:8" ht="21.6" customHeight="1" x14ac:dyDescent="0.25">
      <c r="H792" s="28"/>
    </row>
    <row r="793" spans="8:8" ht="21.6" customHeight="1" x14ac:dyDescent="0.25">
      <c r="H793" s="28"/>
    </row>
    <row r="794" spans="8:8" ht="21.6" customHeight="1" x14ac:dyDescent="0.25">
      <c r="H794" s="28"/>
    </row>
    <row r="795" spans="8:8" ht="21.6" customHeight="1" x14ac:dyDescent="0.25">
      <c r="H795" s="28"/>
    </row>
    <row r="796" spans="8:8" ht="21.6" customHeight="1" x14ac:dyDescent="0.25">
      <c r="H796" s="28"/>
    </row>
    <row r="797" spans="8:8" ht="21.6" customHeight="1" x14ac:dyDescent="0.25">
      <c r="H797" s="28"/>
    </row>
    <row r="798" spans="8:8" ht="21.6" customHeight="1" x14ac:dyDescent="0.25">
      <c r="H798" s="28"/>
    </row>
    <row r="799" spans="8:8" ht="21.6" customHeight="1" x14ac:dyDescent="0.25">
      <c r="H799" s="28"/>
    </row>
    <row r="800" spans="8:8" ht="21.6" customHeight="1" x14ac:dyDescent="0.25">
      <c r="H800" s="28"/>
    </row>
    <row r="801" spans="8:8" ht="21.6" customHeight="1" x14ac:dyDescent="0.25">
      <c r="H801" s="28"/>
    </row>
    <row r="802" spans="8:8" ht="21.6" customHeight="1" x14ac:dyDescent="0.25">
      <c r="H802" s="28"/>
    </row>
    <row r="803" spans="8:8" ht="21.6" customHeight="1" x14ac:dyDescent="0.25">
      <c r="H803" s="28"/>
    </row>
    <row r="804" spans="8:8" ht="21.6" customHeight="1" x14ac:dyDescent="0.25">
      <c r="H804" s="28"/>
    </row>
    <row r="805" spans="8:8" ht="21.6" customHeight="1" x14ac:dyDescent="0.25">
      <c r="H805" s="28"/>
    </row>
    <row r="806" spans="8:8" ht="21.6" customHeight="1" x14ac:dyDescent="0.25">
      <c r="H806" s="28"/>
    </row>
    <row r="807" spans="8:8" ht="21.6" customHeight="1" x14ac:dyDescent="0.25">
      <c r="H807" s="28"/>
    </row>
    <row r="808" spans="8:8" ht="21.6" customHeight="1" x14ac:dyDescent="0.25">
      <c r="H808" s="28"/>
    </row>
    <row r="809" spans="8:8" ht="21.6" customHeight="1" x14ac:dyDescent="0.25">
      <c r="H809" s="28"/>
    </row>
    <row r="810" spans="8:8" ht="21.6" customHeight="1" x14ac:dyDescent="0.25">
      <c r="H810" s="28"/>
    </row>
    <row r="811" spans="8:8" ht="21.6" customHeight="1" x14ac:dyDescent="0.25">
      <c r="H811" s="28"/>
    </row>
    <row r="812" spans="8:8" ht="21.6" customHeight="1" x14ac:dyDescent="0.25">
      <c r="H812" s="28"/>
    </row>
    <row r="813" spans="8:8" ht="21.6" customHeight="1" x14ac:dyDescent="0.25">
      <c r="H813" s="28"/>
    </row>
    <row r="814" spans="8:8" ht="21.6" customHeight="1" x14ac:dyDescent="0.25">
      <c r="H814" s="28"/>
    </row>
    <row r="815" spans="8:8" ht="21.6" customHeight="1" x14ac:dyDescent="0.25">
      <c r="H815" s="28"/>
    </row>
    <row r="816" spans="8:8" ht="21.6" customHeight="1" x14ac:dyDescent="0.25">
      <c r="H816" s="28"/>
    </row>
    <row r="817" spans="8:8" ht="21.6" customHeight="1" x14ac:dyDescent="0.25">
      <c r="H817" s="28"/>
    </row>
    <row r="818" spans="8:8" ht="21.6" customHeight="1" x14ac:dyDescent="0.25">
      <c r="H818" s="28"/>
    </row>
    <row r="819" spans="8:8" ht="21.6" customHeight="1" x14ac:dyDescent="0.25">
      <c r="H819" s="28"/>
    </row>
    <row r="820" spans="8:8" ht="21.6" customHeight="1" x14ac:dyDescent="0.25">
      <c r="H820" s="28"/>
    </row>
    <row r="821" spans="8:8" ht="21.6" customHeight="1" x14ac:dyDescent="0.25">
      <c r="H821" s="28"/>
    </row>
    <row r="822" spans="8:8" ht="21.6" customHeight="1" x14ac:dyDescent="0.25">
      <c r="H822" s="28"/>
    </row>
    <row r="823" spans="8:8" ht="21.6" customHeight="1" x14ac:dyDescent="0.25">
      <c r="H823" s="28"/>
    </row>
    <row r="824" spans="8:8" ht="21.6" customHeight="1" x14ac:dyDescent="0.25">
      <c r="H824" s="28"/>
    </row>
    <row r="825" spans="8:8" ht="21.6" customHeight="1" x14ac:dyDescent="0.25">
      <c r="H825" s="28"/>
    </row>
    <row r="826" spans="8:8" ht="21.6" customHeight="1" x14ac:dyDescent="0.25">
      <c r="H826" s="28"/>
    </row>
    <row r="827" spans="8:8" ht="21.6" customHeight="1" x14ac:dyDescent="0.25">
      <c r="H827" s="28"/>
    </row>
    <row r="828" spans="8:8" ht="21.6" customHeight="1" x14ac:dyDescent="0.25">
      <c r="H828" s="28"/>
    </row>
    <row r="829" spans="8:8" ht="21.6" customHeight="1" x14ac:dyDescent="0.25">
      <c r="H829" s="28"/>
    </row>
    <row r="830" spans="8:8" ht="21.6" customHeight="1" x14ac:dyDescent="0.25">
      <c r="H830" s="28"/>
    </row>
    <row r="831" spans="8:8" ht="21.6" customHeight="1" x14ac:dyDescent="0.25">
      <c r="H831" s="28"/>
    </row>
    <row r="832" spans="8:8" ht="21.6" customHeight="1" x14ac:dyDescent="0.25">
      <c r="H832" s="28"/>
    </row>
    <row r="833" spans="8:8" ht="21.6" customHeight="1" x14ac:dyDescent="0.25">
      <c r="H833" s="28"/>
    </row>
    <row r="834" spans="8:8" ht="21.6" customHeight="1" x14ac:dyDescent="0.25">
      <c r="H834" s="28"/>
    </row>
    <row r="835" spans="8:8" ht="21.6" customHeight="1" x14ac:dyDescent="0.25">
      <c r="H835" s="28"/>
    </row>
    <row r="836" spans="8:8" ht="21.6" customHeight="1" x14ac:dyDescent="0.25">
      <c r="H836" s="28"/>
    </row>
    <row r="837" spans="8:8" ht="21.6" customHeight="1" x14ac:dyDescent="0.25">
      <c r="H837" s="28"/>
    </row>
    <row r="838" spans="8:8" ht="21.6" customHeight="1" x14ac:dyDescent="0.25">
      <c r="H838" s="28"/>
    </row>
    <row r="839" spans="8:8" ht="21.6" customHeight="1" x14ac:dyDescent="0.25">
      <c r="H839" s="28"/>
    </row>
    <row r="840" spans="8:8" ht="21.6" customHeight="1" x14ac:dyDescent="0.25">
      <c r="H840" s="28"/>
    </row>
    <row r="841" spans="8:8" ht="21.6" customHeight="1" x14ac:dyDescent="0.25">
      <c r="H841" s="28"/>
    </row>
    <row r="842" spans="8:8" ht="21.6" customHeight="1" x14ac:dyDescent="0.25">
      <c r="H842" s="28"/>
    </row>
    <row r="843" spans="8:8" ht="21.6" customHeight="1" x14ac:dyDescent="0.25">
      <c r="H843" s="28"/>
    </row>
    <row r="844" spans="8:8" ht="21.6" customHeight="1" x14ac:dyDescent="0.25">
      <c r="H844" s="28"/>
    </row>
    <row r="845" spans="8:8" ht="21.6" customHeight="1" x14ac:dyDescent="0.25">
      <c r="H845" s="28"/>
    </row>
    <row r="846" spans="8:8" ht="21.6" customHeight="1" x14ac:dyDescent="0.25">
      <c r="H846" s="28"/>
    </row>
    <row r="847" spans="8:8" ht="21.6" customHeight="1" x14ac:dyDescent="0.25">
      <c r="H847" s="28"/>
    </row>
    <row r="848" spans="8:8" ht="21.6" customHeight="1" x14ac:dyDescent="0.25">
      <c r="H848" s="28"/>
    </row>
    <row r="849" spans="8:8" ht="21.6" customHeight="1" x14ac:dyDescent="0.25">
      <c r="H849" s="28"/>
    </row>
    <row r="850" spans="8:8" ht="21.6" customHeight="1" x14ac:dyDescent="0.25">
      <c r="H850" s="28"/>
    </row>
    <row r="851" spans="8:8" ht="21.6" customHeight="1" x14ac:dyDescent="0.25">
      <c r="H851" s="28"/>
    </row>
    <row r="852" spans="8:8" ht="21.6" customHeight="1" x14ac:dyDescent="0.25">
      <c r="H852" s="28"/>
    </row>
    <row r="853" spans="8:8" ht="21.6" customHeight="1" x14ac:dyDescent="0.25">
      <c r="H853" s="28"/>
    </row>
    <row r="854" spans="8:8" ht="21.6" customHeight="1" x14ac:dyDescent="0.25">
      <c r="H854" s="28"/>
    </row>
    <row r="855" spans="8:8" ht="21.6" customHeight="1" x14ac:dyDescent="0.25">
      <c r="H855" s="28"/>
    </row>
    <row r="856" spans="8:8" ht="21.6" customHeight="1" x14ac:dyDescent="0.25">
      <c r="H856" s="28"/>
    </row>
    <row r="857" spans="8:8" ht="21.6" customHeight="1" x14ac:dyDescent="0.25">
      <c r="H857" s="28"/>
    </row>
    <row r="858" spans="8:8" ht="21.6" customHeight="1" x14ac:dyDescent="0.25">
      <c r="H858" s="28"/>
    </row>
    <row r="859" spans="8:8" ht="21.6" customHeight="1" x14ac:dyDescent="0.25">
      <c r="H859" s="28"/>
    </row>
    <row r="860" spans="8:8" ht="21.6" customHeight="1" x14ac:dyDescent="0.25">
      <c r="H860" s="28"/>
    </row>
    <row r="861" spans="8:8" ht="21.6" customHeight="1" x14ac:dyDescent="0.25">
      <c r="H861" s="28"/>
    </row>
    <row r="862" spans="8:8" ht="21.6" customHeight="1" x14ac:dyDescent="0.25">
      <c r="H862" s="28"/>
    </row>
    <row r="863" spans="8:8" ht="21.6" customHeight="1" x14ac:dyDescent="0.25">
      <c r="H863" s="28"/>
    </row>
    <row r="864" spans="8:8" ht="21.6" customHeight="1" x14ac:dyDescent="0.25">
      <c r="H864" s="28"/>
    </row>
    <row r="865" spans="8:8" ht="21.6" customHeight="1" x14ac:dyDescent="0.25">
      <c r="H865" s="28"/>
    </row>
    <row r="866" spans="8:8" ht="21.6" customHeight="1" x14ac:dyDescent="0.25">
      <c r="H866" s="28"/>
    </row>
    <row r="867" spans="8:8" ht="21.6" customHeight="1" x14ac:dyDescent="0.25">
      <c r="H867" s="28"/>
    </row>
    <row r="868" spans="8:8" ht="21.6" customHeight="1" x14ac:dyDescent="0.25">
      <c r="H868" s="28"/>
    </row>
    <row r="869" spans="8:8" ht="21.6" customHeight="1" x14ac:dyDescent="0.25">
      <c r="H869" s="28"/>
    </row>
    <row r="870" spans="8:8" ht="21.6" customHeight="1" x14ac:dyDescent="0.25">
      <c r="H870" s="28"/>
    </row>
    <row r="871" spans="8:8" ht="21.6" customHeight="1" x14ac:dyDescent="0.25">
      <c r="H871" s="28"/>
    </row>
    <row r="872" spans="8:8" ht="21.6" customHeight="1" x14ac:dyDescent="0.25">
      <c r="H872" s="28"/>
    </row>
    <row r="873" spans="8:8" ht="21.6" customHeight="1" x14ac:dyDescent="0.25">
      <c r="H873" s="28"/>
    </row>
    <row r="874" spans="8:8" ht="21.6" customHeight="1" x14ac:dyDescent="0.25">
      <c r="H874" s="28"/>
    </row>
    <row r="875" spans="8:8" ht="21.6" customHeight="1" x14ac:dyDescent="0.25">
      <c r="H875" s="28"/>
    </row>
    <row r="876" spans="8:8" ht="21.6" customHeight="1" x14ac:dyDescent="0.25">
      <c r="H876" s="28"/>
    </row>
    <row r="877" spans="8:8" ht="21.6" customHeight="1" x14ac:dyDescent="0.25">
      <c r="H877" s="28"/>
    </row>
    <row r="878" spans="8:8" ht="21.6" customHeight="1" x14ac:dyDescent="0.25">
      <c r="H878" s="28"/>
    </row>
    <row r="879" spans="8:8" ht="21.6" customHeight="1" x14ac:dyDescent="0.25">
      <c r="H879" s="28"/>
    </row>
    <row r="880" spans="8:8" ht="21.6" customHeight="1" x14ac:dyDescent="0.25">
      <c r="H880" s="28"/>
    </row>
    <row r="881" spans="8:8" ht="21.6" customHeight="1" x14ac:dyDescent="0.25">
      <c r="H881" s="28"/>
    </row>
    <row r="882" spans="8:8" ht="21.6" customHeight="1" x14ac:dyDescent="0.25">
      <c r="H882" s="28"/>
    </row>
    <row r="883" spans="8:8" ht="21.6" customHeight="1" x14ac:dyDescent="0.25">
      <c r="H883" s="28"/>
    </row>
    <row r="884" spans="8:8" ht="21.6" customHeight="1" x14ac:dyDescent="0.25">
      <c r="H884" s="28"/>
    </row>
    <row r="885" spans="8:8" ht="21.6" customHeight="1" x14ac:dyDescent="0.25">
      <c r="H885" s="28"/>
    </row>
    <row r="886" spans="8:8" ht="21.6" customHeight="1" x14ac:dyDescent="0.25">
      <c r="H886" s="28"/>
    </row>
    <row r="887" spans="8:8" ht="21.6" customHeight="1" x14ac:dyDescent="0.25">
      <c r="H887" s="28"/>
    </row>
    <row r="888" spans="8:8" ht="21.6" customHeight="1" x14ac:dyDescent="0.25">
      <c r="H888" s="28"/>
    </row>
    <row r="889" spans="8:8" ht="21.6" customHeight="1" x14ac:dyDescent="0.25">
      <c r="H889" s="28"/>
    </row>
    <row r="890" spans="8:8" ht="21.6" customHeight="1" x14ac:dyDescent="0.25">
      <c r="H890" s="28"/>
    </row>
    <row r="891" spans="8:8" ht="21.6" customHeight="1" x14ac:dyDescent="0.25">
      <c r="H891" s="28"/>
    </row>
    <row r="892" spans="8:8" ht="21.6" customHeight="1" x14ac:dyDescent="0.25">
      <c r="H892" s="28"/>
    </row>
    <row r="893" spans="8:8" ht="21.6" customHeight="1" x14ac:dyDescent="0.25">
      <c r="H893" s="28"/>
    </row>
    <row r="894" spans="8:8" ht="21.6" customHeight="1" x14ac:dyDescent="0.25">
      <c r="H894" s="28"/>
    </row>
    <row r="895" spans="8:8" ht="21.6" customHeight="1" x14ac:dyDescent="0.25">
      <c r="H895" s="28"/>
    </row>
    <row r="896" spans="8:8" ht="21.6" customHeight="1" x14ac:dyDescent="0.25">
      <c r="H896" s="28"/>
    </row>
    <row r="897" spans="8:8" ht="21.6" customHeight="1" x14ac:dyDescent="0.25">
      <c r="H897" s="28"/>
    </row>
    <row r="898" spans="8:8" ht="21.6" customHeight="1" x14ac:dyDescent="0.25">
      <c r="H898" s="28"/>
    </row>
    <row r="899" spans="8:8" ht="21.6" customHeight="1" x14ac:dyDescent="0.25">
      <c r="H899" s="28"/>
    </row>
    <row r="900" spans="8:8" ht="21.6" customHeight="1" x14ac:dyDescent="0.25">
      <c r="H900" s="28"/>
    </row>
    <row r="901" spans="8:8" ht="21.6" customHeight="1" x14ac:dyDescent="0.25">
      <c r="H901" s="28"/>
    </row>
    <row r="902" spans="8:8" ht="21.6" customHeight="1" x14ac:dyDescent="0.25">
      <c r="H902" s="28"/>
    </row>
    <row r="903" spans="8:8" ht="21.6" customHeight="1" x14ac:dyDescent="0.25">
      <c r="H903" s="28"/>
    </row>
    <row r="904" spans="8:8" ht="21.6" customHeight="1" x14ac:dyDescent="0.25">
      <c r="H904" s="28"/>
    </row>
    <row r="905" spans="8:8" ht="21.6" customHeight="1" x14ac:dyDescent="0.25">
      <c r="H905" s="28"/>
    </row>
    <row r="906" spans="8:8" ht="21.6" customHeight="1" x14ac:dyDescent="0.25">
      <c r="H906" s="28"/>
    </row>
    <row r="907" spans="8:8" ht="21.6" customHeight="1" x14ac:dyDescent="0.25">
      <c r="H907" s="28"/>
    </row>
    <row r="908" spans="8:8" ht="21.6" customHeight="1" x14ac:dyDescent="0.25">
      <c r="H908" s="28"/>
    </row>
    <row r="909" spans="8:8" ht="21.6" customHeight="1" x14ac:dyDescent="0.25">
      <c r="H909" s="28"/>
    </row>
    <row r="910" spans="8:8" ht="21.6" customHeight="1" x14ac:dyDescent="0.25">
      <c r="H910" s="28"/>
    </row>
    <row r="911" spans="8:8" ht="21.6" customHeight="1" x14ac:dyDescent="0.25">
      <c r="H911" s="28"/>
    </row>
    <row r="912" spans="8:8" ht="21.6" customHeight="1" x14ac:dyDescent="0.25">
      <c r="H912" s="28"/>
    </row>
    <row r="913" spans="8:8" ht="21.6" customHeight="1" x14ac:dyDescent="0.25">
      <c r="H913" s="28"/>
    </row>
    <row r="914" spans="8:8" ht="21.6" customHeight="1" x14ac:dyDescent="0.25">
      <c r="H914" s="28"/>
    </row>
    <row r="915" spans="8:8" ht="21.6" customHeight="1" x14ac:dyDescent="0.25">
      <c r="H915" s="28"/>
    </row>
    <row r="916" spans="8:8" ht="21.6" customHeight="1" x14ac:dyDescent="0.25">
      <c r="H916" s="28"/>
    </row>
    <row r="917" spans="8:8" ht="21.6" customHeight="1" x14ac:dyDescent="0.25">
      <c r="H917" s="28"/>
    </row>
    <row r="918" spans="8:8" ht="21.6" customHeight="1" x14ac:dyDescent="0.25">
      <c r="H918" s="28"/>
    </row>
    <row r="919" spans="8:8" ht="21.6" customHeight="1" x14ac:dyDescent="0.25">
      <c r="H919" s="28"/>
    </row>
    <row r="920" spans="8:8" ht="21.6" customHeight="1" x14ac:dyDescent="0.25">
      <c r="H920" s="28"/>
    </row>
    <row r="921" spans="8:8" ht="21.6" customHeight="1" x14ac:dyDescent="0.25">
      <c r="H921" s="28"/>
    </row>
    <row r="922" spans="8:8" ht="21.6" customHeight="1" x14ac:dyDescent="0.25">
      <c r="H922" s="28"/>
    </row>
    <row r="923" spans="8:8" ht="21.6" customHeight="1" x14ac:dyDescent="0.25">
      <c r="H923" s="28"/>
    </row>
    <row r="924" spans="8:8" ht="21.6" customHeight="1" x14ac:dyDescent="0.25">
      <c r="H924" s="28"/>
    </row>
    <row r="925" spans="8:8" ht="21.6" customHeight="1" x14ac:dyDescent="0.25">
      <c r="H925" s="28"/>
    </row>
    <row r="926" spans="8:8" ht="21.6" customHeight="1" x14ac:dyDescent="0.25">
      <c r="H926" s="28"/>
    </row>
    <row r="927" spans="8:8" ht="21.6" customHeight="1" x14ac:dyDescent="0.25">
      <c r="H927" s="28"/>
    </row>
    <row r="928" spans="8:8" ht="21.6" customHeight="1" x14ac:dyDescent="0.25">
      <c r="H928" s="28"/>
    </row>
    <row r="929" spans="8:8" ht="21.6" customHeight="1" x14ac:dyDescent="0.25">
      <c r="H929" s="28"/>
    </row>
    <row r="930" spans="8:8" ht="21.6" customHeight="1" x14ac:dyDescent="0.25">
      <c r="H930" s="28"/>
    </row>
    <row r="931" spans="8:8" ht="21.6" customHeight="1" x14ac:dyDescent="0.25">
      <c r="H931" s="28"/>
    </row>
    <row r="932" spans="8:8" ht="21.6" customHeight="1" x14ac:dyDescent="0.25">
      <c r="H932" s="28"/>
    </row>
    <row r="933" spans="8:8" ht="21.6" customHeight="1" x14ac:dyDescent="0.25">
      <c r="H933" s="28"/>
    </row>
    <row r="934" spans="8:8" ht="21.6" customHeight="1" x14ac:dyDescent="0.25">
      <c r="H934" s="28"/>
    </row>
    <row r="935" spans="8:8" ht="21.6" customHeight="1" x14ac:dyDescent="0.25">
      <c r="H935" s="28"/>
    </row>
    <row r="936" spans="8:8" ht="21.6" customHeight="1" x14ac:dyDescent="0.25">
      <c r="H936" s="28"/>
    </row>
    <row r="937" spans="8:8" ht="21.6" customHeight="1" x14ac:dyDescent="0.25">
      <c r="H937" s="28"/>
    </row>
    <row r="938" spans="8:8" ht="21.6" customHeight="1" x14ac:dyDescent="0.25">
      <c r="H938" s="28"/>
    </row>
    <row r="939" spans="8:8" ht="21.6" customHeight="1" x14ac:dyDescent="0.25">
      <c r="H939" s="28"/>
    </row>
    <row r="940" spans="8:8" ht="21.6" customHeight="1" x14ac:dyDescent="0.25">
      <c r="H940" s="28"/>
    </row>
    <row r="941" spans="8:8" ht="21.6" customHeight="1" x14ac:dyDescent="0.25">
      <c r="H941" s="28"/>
    </row>
    <row r="942" spans="8:8" ht="21.6" customHeight="1" x14ac:dyDescent="0.25">
      <c r="H942" s="28"/>
    </row>
    <row r="943" spans="8:8" ht="21.6" customHeight="1" x14ac:dyDescent="0.25">
      <c r="H943" s="28"/>
    </row>
    <row r="944" spans="8:8" ht="21.6" customHeight="1" x14ac:dyDescent="0.25">
      <c r="H944" s="28"/>
    </row>
    <row r="945" spans="8:8" ht="21.6" customHeight="1" x14ac:dyDescent="0.25">
      <c r="H945" s="28"/>
    </row>
    <row r="946" spans="8:8" ht="21.6" customHeight="1" x14ac:dyDescent="0.25">
      <c r="H946" s="28"/>
    </row>
    <row r="947" spans="8:8" ht="21.6" customHeight="1" x14ac:dyDescent="0.25">
      <c r="H947" s="28"/>
    </row>
    <row r="948" spans="8:8" ht="21.6" customHeight="1" x14ac:dyDescent="0.25">
      <c r="H948" s="28"/>
    </row>
    <row r="949" spans="8:8" ht="21.6" customHeight="1" x14ac:dyDescent="0.25">
      <c r="H949" s="28"/>
    </row>
    <row r="950" spans="8:8" ht="21.6" customHeight="1" x14ac:dyDescent="0.25">
      <c r="H950" s="28"/>
    </row>
    <row r="951" spans="8:8" ht="21.6" customHeight="1" x14ac:dyDescent="0.25">
      <c r="H951" s="28"/>
    </row>
    <row r="952" spans="8:8" ht="21.6" customHeight="1" x14ac:dyDescent="0.25">
      <c r="H952" s="28"/>
    </row>
    <row r="953" spans="8:8" ht="21.6" customHeight="1" x14ac:dyDescent="0.25">
      <c r="H953" s="28"/>
    </row>
    <row r="954" spans="8:8" ht="21.6" customHeight="1" x14ac:dyDescent="0.25">
      <c r="H954" s="28"/>
    </row>
    <row r="955" spans="8:8" ht="21.6" customHeight="1" x14ac:dyDescent="0.25">
      <c r="H955" s="28"/>
    </row>
    <row r="956" spans="8:8" ht="21.6" customHeight="1" x14ac:dyDescent="0.25">
      <c r="H956" s="28"/>
    </row>
    <row r="957" spans="8:8" ht="21.6" customHeight="1" x14ac:dyDescent="0.25">
      <c r="H957" s="28"/>
    </row>
    <row r="958" spans="8:8" ht="21.6" customHeight="1" x14ac:dyDescent="0.25">
      <c r="H958" s="28"/>
    </row>
    <row r="959" spans="8:8" ht="21.6" customHeight="1" x14ac:dyDescent="0.25">
      <c r="H959" s="28"/>
    </row>
    <row r="960" spans="8:8" ht="21.6" customHeight="1" x14ac:dyDescent="0.25">
      <c r="H960" s="28"/>
    </row>
    <row r="961" spans="8:8" ht="21.6" customHeight="1" x14ac:dyDescent="0.25">
      <c r="H961" s="28"/>
    </row>
    <row r="962" spans="8:8" ht="21.6" customHeight="1" x14ac:dyDescent="0.25">
      <c r="H962" s="28"/>
    </row>
    <row r="963" spans="8:8" ht="21.6" customHeight="1" x14ac:dyDescent="0.25">
      <c r="H963" s="28"/>
    </row>
    <row r="964" spans="8:8" ht="21.6" customHeight="1" x14ac:dyDescent="0.25">
      <c r="H964" s="28"/>
    </row>
    <row r="965" spans="8:8" ht="21.6" customHeight="1" x14ac:dyDescent="0.25">
      <c r="H965" s="28"/>
    </row>
    <row r="966" spans="8:8" ht="21.6" customHeight="1" x14ac:dyDescent="0.25">
      <c r="H966" s="28"/>
    </row>
    <row r="967" spans="8:8" ht="21.6" customHeight="1" x14ac:dyDescent="0.25">
      <c r="H967" s="28"/>
    </row>
    <row r="968" spans="8:8" ht="21.6" customHeight="1" x14ac:dyDescent="0.25">
      <c r="H968" s="28"/>
    </row>
    <row r="969" spans="8:8" ht="21.6" customHeight="1" x14ac:dyDescent="0.25">
      <c r="H969" s="28"/>
    </row>
    <row r="970" spans="8:8" ht="21.6" customHeight="1" x14ac:dyDescent="0.25">
      <c r="H970" s="28"/>
    </row>
    <row r="971" spans="8:8" ht="21.6" customHeight="1" x14ac:dyDescent="0.25">
      <c r="H971" s="28"/>
    </row>
    <row r="972" spans="8:8" ht="21.6" customHeight="1" x14ac:dyDescent="0.25">
      <c r="H972" s="28"/>
    </row>
    <row r="973" spans="8:8" ht="21.6" customHeight="1" x14ac:dyDescent="0.25">
      <c r="H973" s="28"/>
    </row>
    <row r="974" spans="8:8" ht="21.6" customHeight="1" x14ac:dyDescent="0.25">
      <c r="H974" s="28"/>
    </row>
    <row r="975" spans="8:8" ht="21.6" customHeight="1" x14ac:dyDescent="0.25">
      <c r="H975" s="28"/>
    </row>
    <row r="976" spans="8:8" ht="21.6" customHeight="1" x14ac:dyDescent="0.25">
      <c r="H976" s="28"/>
    </row>
    <row r="977" spans="8:8" ht="21.6" customHeight="1" x14ac:dyDescent="0.25">
      <c r="H977" s="28"/>
    </row>
    <row r="978" spans="8:8" ht="21.6" customHeight="1" x14ac:dyDescent="0.25">
      <c r="H978" s="28"/>
    </row>
    <row r="979" spans="8:8" ht="21.6" customHeight="1" x14ac:dyDescent="0.25">
      <c r="H979" s="28"/>
    </row>
    <row r="980" spans="8:8" ht="21.6" customHeight="1" x14ac:dyDescent="0.25">
      <c r="H980" s="28"/>
    </row>
    <row r="981" spans="8:8" ht="21.6" customHeight="1" x14ac:dyDescent="0.25">
      <c r="H981" s="28"/>
    </row>
    <row r="982" spans="8:8" ht="21.6" customHeight="1" x14ac:dyDescent="0.25">
      <c r="H982" s="28"/>
    </row>
    <row r="983" spans="8:8" ht="21.6" customHeight="1" x14ac:dyDescent="0.25">
      <c r="H983" s="28"/>
    </row>
    <row r="984" spans="8:8" ht="21.6" customHeight="1" x14ac:dyDescent="0.25">
      <c r="H984" s="28"/>
    </row>
    <row r="985" spans="8:8" ht="21.6" customHeight="1" x14ac:dyDescent="0.25">
      <c r="H985" s="28"/>
    </row>
    <row r="986" spans="8:8" ht="21.6" customHeight="1" x14ac:dyDescent="0.25">
      <c r="H986" s="28"/>
    </row>
    <row r="987" spans="8:8" ht="21.6" customHeight="1" x14ac:dyDescent="0.25">
      <c r="H987" s="28"/>
    </row>
    <row r="988" spans="8:8" ht="21.6" customHeight="1" x14ac:dyDescent="0.25">
      <c r="H988" s="28"/>
    </row>
    <row r="989" spans="8:8" ht="21.6" customHeight="1" x14ac:dyDescent="0.25">
      <c r="H989" s="28"/>
    </row>
    <row r="990" spans="8:8" ht="21.6" customHeight="1" x14ac:dyDescent="0.25">
      <c r="H990" s="28"/>
    </row>
    <row r="991" spans="8:8" ht="21.6" customHeight="1" x14ac:dyDescent="0.25">
      <c r="H991" s="28"/>
    </row>
    <row r="992" spans="8:8" ht="21.6" customHeight="1" x14ac:dyDescent="0.25">
      <c r="H992" s="28"/>
    </row>
    <row r="993" spans="8:8" ht="21.6" customHeight="1" x14ac:dyDescent="0.25">
      <c r="H993" s="28"/>
    </row>
    <row r="994" spans="8:8" ht="21.6" customHeight="1" x14ac:dyDescent="0.25">
      <c r="H994" s="28"/>
    </row>
    <row r="995" spans="8:8" ht="21.6" customHeight="1" x14ac:dyDescent="0.25">
      <c r="H995" s="28"/>
    </row>
    <row r="996" spans="8:8" ht="21.6" customHeight="1" x14ac:dyDescent="0.25">
      <c r="H996" s="28"/>
    </row>
    <row r="997" spans="8:8" ht="21.6" customHeight="1" x14ac:dyDescent="0.25">
      <c r="H997" s="28"/>
    </row>
    <row r="998" spans="8:8" ht="21.6" customHeight="1" x14ac:dyDescent="0.25">
      <c r="H998" s="28"/>
    </row>
    <row r="999" spans="8:8" ht="21.6" customHeight="1" x14ac:dyDescent="0.25">
      <c r="H999" s="28"/>
    </row>
    <row r="1000" spans="8:8" ht="21.6" customHeight="1" x14ac:dyDescent="0.25">
      <c r="H1000" s="28"/>
    </row>
  </sheetData>
  <mergeCells count="1">
    <mergeCell ref="A1:H1"/>
  </mergeCells>
  <conditionalFormatting sqref="H3:H1000">
    <cfRule type="containsText" dxfId="3" priority="1" stopIfTrue="1" operator="containsText" text="Invalid">
      <formula>NOT(ISERROR(SEARCH(("Invalid"),(H3))))</formula>
    </cfRule>
    <cfRule type="containsText" dxfId="2" priority="2" stopIfTrue="1" operator="containsText" text="Fixed">
      <formula>NOT(ISERROR(SEARCH(("Fixed"),(H3))))</formula>
    </cfRule>
    <cfRule type="containsText" dxfId="1" priority="3" stopIfTrue="1" operator="containsText" text="In Progress">
      <formula>NOT(ISERROR(SEARCH(("In Progress"),(H3))))</formula>
    </cfRule>
    <cfRule type="containsText" dxfId="0" priority="4" stopIfTrue="1" operator="containsText" text="Pending">
      <formula>NOT(ISERROR(SEARCH(("Pending"),(H3))))</formula>
    </cfRule>
  </conditionalFormatting>
  <dataValidations count="1">
    <dataValidation type="list" allowBlank="1" showInputMessage="1" showErrorMessage="1" prompt="เลือกสถานะการแก้ไขข้อสอบ (Status)" sqref="H3:H1000" xr:uid="{00000000-0002-0000-2600-000000000000}">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xr:uid="{00000000-0004-0000-2600-000000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4CB266"/>
    <outlinePr summaryBelow="0" summaryRight="0"/>
  </sheetPr>
  <dimension ref="A1:P25"/>
  <sheetViews>
    <sheetView workbookViewId="0"/>
  </sheetViews>
  <sheetFormatPr defaultColWidth="12.6640625" defaultRowHeight="15.75" customHeight="1" x14ac:dyDescent="0.25"/>
  <sheetData>
    <row r="1" spans="1:16" ht="34.950000000000003" customHeight="1" x14ac:dyDescent="0.25">
      <c r="A1" s="51" t="str">
        <f>HYPERLINK("#gid=0", "🏠 กลับสู่หน้าแรก (Go to Home Page)")</f>
        <v>🏠 กลับสู่หน้าแรก (Go to Home Page)</v>
      </c>
      <c r="B1" s="49"/>
      <c r="C1" s="49"/>
      <c r="D1" s="49"/>
      <c r="E1" s="49"/>
      <c r="F1" s="49"/>
    </row>
    <row r="2" spans="1:16" ht="21.6" customHeight="1" x14ac:dyDescent="0.25">
      <c r="A2" s="29" t="s">
        <v>10</v>
      </c>
      <c r="B2" s="29" t="s">
        <v>11</v>
      </c>
      <c r="C2" s="29" t="s">
        <v>12</v>
      </c>
      <c r="D2" s="29" t="s">
        <v>13</v>
      </c>
      <c r="E2" s="29" t="s">
        <v>14</v>
      </c>
      <c r="F2" s="29" t="s">
        <v>15</v>
      </c>
      <c r="G2" s="29" t="s">
        <v>16</v>
      </c>
      <c r="H2" s="29" t="s">
        <v>17</v>
      </c>
      <c r="I2" s="29" t="s">
        <v>154</v>
      </c>
      <c r="J2" s="29" t="s">
        <v>19</v>
      </c>
      <c r="K2" s="29" t="s">
        <v>20</v>
      </c>
      <c r="L2" s="29" t="s">
        <v>81</v>
      </c>
      <c r="M2" s="29" t="s">
        <v>155</v>
      </c>
      <c r="N2" s="29" t="s">
        <v>23</v>
      </c>
      <c r="O2" s="29" t="s">
        <v>24</v>
      </c>
      <c r="P2" s="29" t="s">
        <v>25</v>
      </c>
    </row>
    <row r="3" spans="1:16" ht="13.2" customHeight="1" x14ac:dyDescent="0.25">
      <c r="A3" s="8" t="s">
        <v>84</v>
      </c>
      <c r="B3" s="2" t="s">
        <v>22466</v>
      </c>
      <c r="C3" s="2"/>
      <c r="D3" s="2" t="s">
        <v>22467</v>
      </c>
      <c r="E3" s="2" t="s">
        <v>15738</v>
      </c>
      <c r="F3" s="2" t="s">
        <v>22468</v>
      </c>
      <c r="G3" s="2" t="s">
        <v>22469</v>
      </c>
      <c r="H3" s="2" t="s">
        <v>22470</v>
      </c>
      <c r="I3" s="8">
        <v>1</v>
      </c>
      <c r="J3" s="2" t="s">
        <v>22471</v>
      </c>
      <c r="K3" s="2"/>
      <c r="L3" s="2" t="s">
        <v>22472</v>
      </c>
      <c r="M3" s="2" t="s">
        <v>29</v>
      </c>
      <c r="N3" s="2" t="s">
        <v>22473</v>
      </c>
      <c r="O3" s="2"/>
      <c r="P3" s="2"/>
    </row>
    <row r="4" spans="1:16" ht="13.2" customHeight="1" x14ac:dyDescent="0.25">
      <c r="A4" s="8" t="s">
        <v>96</v>
      </c>
      <c r="B4" s="2" t="s">
        <v>22474</v>
      </c>
      <c r="C4" s="2"/>
      <c r="D4" s="2" t="s">
        <v>15738</v>
      </c>
      <c r="E4" s="2" t="s">
        <v>22475</v>
      </c>
      <c r="F4" s="2" t="s">
        <v>22476</v>
      </c>
      <c r="G4" s="2" t="s">
        <v>22467</v>
      </c>
      <c r="H4" s="2" t="s">
        <v>11071</v>
      </c>
      <c r="I4" s="8">
        <v>1</v>
      </c>
      <c r="J4" s="2" t="s">
        <v>22477</v>
      </c>
      <c r="K4" s="2"/>
      <c r="L4" s="2" t="s">
        <v>22472</v>
      </c>
      <c r="M4" s="2" t="s">
        <v>29</v>
      </c>
      <c r="N4" s="2" t="s">
        <v>1692</v>
      </c>
      <c r="O4" s="2"/>
      <c r="P4" s="2"/>
    </row>
    <row r="5" spans="1:16" ht="13.2" customHeight="1" x14ac:dyDescent="0.25">
      <c r="A5" s="8" t="s">
        <v>90</v>
      </c>
      <c r="B5" s="2" t="s">
        <v>4433</v>
      </c>
      <c r="C5" s="2"/>
      <c r="D5" s="2" t="s">
        <v>22478</v>
      </c>
      <c r="E5" s="2" t="s">
        <v>4435</v>
      </c>
      <c r="F5" s="2" t="s">
        <v>4436</v>
      </c>
      <c r="G5" s="2" t="s">
        <v>4437</v>
      </c>
      <c r="H5" s="2" t="s">
        <v>4438</v>
      </c>
      <c r="I5" s="8">
        <v>1</v>
      </c>
      <c r="J5" s="2" t="s">
        <v>22479</v>
      </c>
      <c r="K5" s="2"/>
      <c r="L5" s="2" t="s">
        <v>22472</v>
      </c>
      <c r="M5" s="2" t="s">
        <v>29</v>
      </c>
      <c r="N5" s="2" t="s">
        <v>10063</v>
      </c>
      <c r="O5" s="2"/>
      <c r="P5" s="2"/>
    </row>
    <row r="6" spans="1:16" ht="13.2" customHeight="1" x14ac:dyDescent="0.25">
      <c r="A6" s="8" t="s">
        <v>113</v>
      </c>
      <c r="B6" s="2" t="s">
        <v>22480</v>
      </c>
      <c r="C6" s="2"/>
      <c r="D6" s="2" t="s">
        <v>614</v>
      </c>
      <c r="E6" s="2" t="s">
        <v>22481</v>
      </c>
      <c r="F6" s="2" t="s">
        <v>22482</v>
      </c>
      <c r="G6" s="2" t="s">
        <v>22483</v>
      </c>
      <c r="H6" s="2" t="s">
        <v>5732</v>
      </c>
      <c r="I6" s="8">
        <v>5</v>
      </c>
      <c r="J6" s="2" t="s">
        <v>22484</v>
      </c>
      <c r="K6" s="2"/>
      <c r="L6" s="2" t="s">
        <v>22472</v>
      </c>
      <c r="M6" s="2" t="s">
        <v>29</v>
      </c>
      <c r="N6" s="2" t="s">
        <v>685</v>
      </c>
      <c r="O6" s="2"/>
      <c r="P6" s="2"/>
    </row>
    <row r="7" spans="1:16" ht="13.2" customHeight="1" x14ac:dyDescent="0.25">
      <c r="A7" s="8" t="s">
        <v>123</v>
      </c>
      <c r="B7" s="2" t="s">
        <v>22485</v>
      </c>
      <c r="C7" s="2"/>
      <c r="D7" s="2" t="s">
        <v>10014</v>
      </c>
      <c r="E7" s="2" t="s">
        <v>22486</v>
      </c>
      <c r="F7" s="2" t="s">
        <v>22487</v>
      </c>
      <c r="G7" s="2" t="s">
        <v>22488</v>
      </c>
      <c r="H7" s="2" t="s">
        <v>22489</v>
      </c>
      <c r="I7" s="8">
        <v>5</v>
      </c>
      <c r="J7" s="2" t="s">
        <v>22490</v>
      </c>
      <c r="K7" s="2"/>
      <c r="L7" s="2" t="s">
        <v>22472</v>
      </c>
      <c r="M7" s="2" t="s">
        <v>29</v>
      </c>
      <c r="N7" s="2" t="s">
        <v>22491</v>
      </c>
      <c r="O7" s="2"/>
      <c r="P7" s="2"/>
    </row>
    <row r="8" spans="1:16" ht="13.2" customHeight="1" x14ac:dyDescent="0.25">
      <c r="A8" s="8" t="s">
        <v>132</v>
      </c>
      <c r="B8" s="2" t="s">
        <v>22492</v>
      </c>
      <c r="C8" s="2"/>
      <c r="D8" s="2" t="s">
        <v>22493</v>
      </c>
      <c r="E8" s="2" t="s">
        <v>22494</v>
      </c>
      <c r="F8" s="2" t="s">
        <v>22495</v>
      </c>
      <c r="G8" s="2" t="s">
        <v>22496</v>
      </c>
      <c r="H8" s="2" t="s">
        <v>22497</v>
      </c>
      <c r="I8" s="8">
        <v>4</v>
      </c>
      <c r="J8" s="2" t="s">
        <v>22498</v>
      </c>
      <c r="K8" s="2"/>
      <c r="L8" s="2" t="s">
        <v>22472</v>
      </c>
      <c r="M8" s="2" t="s">
        <v>29</v>
      </c>
      <c r="N8" s="2" t="s">
        <v>12470</v>
      </c>
      <c r="O8" s="2"/>
      <c r="P8" s="2"/>
    </row>
    <row r="9" spans="1:16" ht="13.2" customHeight="1" x14ac:dyDescent="0.25">
      <c r="A9" s="8" t="s">
        <v>10084</v>
      </c>
      <c r="B9" s="2" t="s">
        <v>22499</v>
      </c>
      <c r="C9" s="2"/>
      <c r="D9" s="2" t="s">
        <v>22500</v>
      </c>
      <c r="E9" s="2" t="s">
        <v>22501</v>
      </c>
      <c r="F9" s="2" t="s">
        <v>22502</v>
      </c>
      <c r="G9" s="2" t="s">
        <v>22503</v>
      </c>
      <c r="H9" s="2" t="s">
        <v>22504</v>
      </c>
      <c r="I9" s="8">
        <v>2</v>
      </c>
      <c r="J9" s="2" t="s">
        <v>22505</v>
      </c>
      <c r="K9" s="2"/>
      <c r="L9" s="2" t="s">
        <v>22472</v>
      </c>
      <c r="M9" s="2" t="s">
        <v>29</v>
      </c>
      <c r="N9" s="2" t="s">
        <v>5270</v>
      </c>
      <c r="O9" s="2"/>
      <c r="P9" s="2"/>
    </row>
    <row r="10" spans="1:16" ht="13.2" customHeight="1" x14ac:dyDescent="0.25">
      <c r="A10" s="8" t="s">
        <v>10093</v>
      </c>
      <c r="B10" s="2" t="s">
        <v>22506</v>
      </c>
      <c r="C10" s="2"/>
      <c r="D10" s="2" t="s">
        <v>22507</v>
      </c>
      <c r="E10" s="2" t="s">
        <v>22508</v>
      </c>
      <c r="F10" s="2" t="s">
        <v>22509</v>
      </c>
      <c r="G10" s="2" t="s">
        <v>22510</v>
      </c>
      <c r="H10" s="2" t="s">
        <v>22511</v>
      </c>
      <c r="I10" s="8">
        <v>5</v>
      </c>
      <c r="J10" s="2" t="s">
        <v>22512</v>
      </c>
      <c r="K10" s="2"/>
      <c r="L10" s="2" t="s">
        <v>22472</v>
      </c>
      <c r="M10" s="2" t="s">
        <v>29</v>
      </c>
      <c r="N10" s="2" t="s">
        <v>1733</v>
      </c>
      <c r="O10" s="2"/>
      <c r="P10" s="2"/>
    </row>
    <row r="11" spans="1:16" ht="13.2" customHeight="1" x14ac:dyDescent="0.25">
      <c r="A11" s="8" t="s">
        <v>10102</v>
      </c>
      <c r="B11" s="2" t="s">
        <v>22513</v>
      </c>
      <c r="C11" s="2"/>
      <c r="D11" s="2" t="s">
        <v>9719</v>
      </c>
      <c r="E11" s="2" t="s">
        <v>13741</v>
      </c>
      <c r="F11" s="2" t="s">
        <v>1350</v>
      </c>
      <c r="G11" s="2" t="s">
        <v>22514</v>
      </c>
      <c r="H11" s="2" t="s">
        <v>22515</v>
      </c>
      <c r="I11" s="8">
        <v>1</v>
      </c>
      <c r="J11" s="2" t="s">
        <v>22516</v>
      </c>
      <c r="K11" s="2"/>
      <c r="L11" s="2" t="s">
        <v>22472</v>
      </c>
      <c r="M11" s="2" t="s">
        <v>29</v>
      </c>
      <c r="N11" s="2" t="s">
        <v>10110</v>
      </c>
      <c r="O11" s="2"/>
      <c r="P11" s="2"/>
    </row>
    <row r="12" spans="1:16" ht="13.2" customHeight="1" x14ac:dyDescent="0.25">
      <c r="A12" s="8" t="s">
        <v>10111</v>
      </c>
      <c r="B12" s="2" t="s">
        <v>22517</v>
      </c>
      <c r="C12" s="2"/>
      <c r="D12" s="2" t="s">
        <v>7458</v>
      </c>
      <c r="E12" s="2" t="s">
        <v>6485</v>
      </c>
      <c r="F12" s="2" t="s">
        <v>22518</v>
      </c>
      <c r="G12" s="2" t="s">
        <v>22515</v>
      </c>
      <c r="H12" s="2" t="s">
        <v>22519</v>
      </c>
      <c r="I12" s="8">
        <v>3</v>
      </c>
      <c r="J12" s="2" t="s">
        <v>22520</v>
      </c>
      <c r="K12" s="2"/>
      <c r="L12" s="2" t="s">
        <v>22472</v>
      </c>
      <c r="M12" s="2" t="s">
        <v>29</v>
      </c>
      <c r="N12" s="2" t="s">
        <v>6511</v>
      </c>
      <c r="O12" s="2"/>
      <c r="P12" s="2"/>
    </row>
    <row r="13" spans="1:16" ht="13.2" customHeight="1" x14ac:dyDescent="0.25">
      <c r="A13" s="8" t="s">
        <v>10119</v>
      </c>
      <c r="B13" s="2" t="s">
        <v>22521</v>
      </c>
      <c r="C13" s="2"/>
      <c r="D13" s="2" t="s">
        <v>22522</v>
      </c>
      <c r="E13" s="2" t="s">
        <v>22523</v>
      </c>
      <c r="F13" s="2" t="s">
        <v>22524</v>
      </c>
      <c r="G13" s="2" t="s">
        <v>22524</v>
      </c>
      <c r="H13" s="2" t="s">
        <v>22525</v>
      </c>
      <c r="I13" s="8">
        <v>3</v>
      </c>
      <c r="J13" s="2" t="s">
        <v>22526</v>
      </c>
      <c r="K13" s="2"/>
      <c r="L13" s="2" t="s">
        <v>22472</v>
      </c>
      <c r="M13" s="2" t="s">
        <v>29</v>
      </c>
      <c r="N13" s="2" t="s">
        <v>22527</v>
      </c>
      <c r="O13" s="2"/>
      <c r="P13" s="2"/>
    </row>
    <row r="14" spans="1:16" ht="13.2" customHeight="1" x14ac:dyDescent="0.25">
      <c r="A14" s="8" t="s">
        <v>10123</v>
      </c>
      <c r="B14" s="2" t="s">
        <v>22528</v>
      </c>
      <c r="C14" s="2"/>
      <c r="D14" s="2" t="s">
        <v>22529</v>
      </c>
      <c r="E14" s="2" t="s">
        <v>22530</v>
      </c>
      <c r="F14" s="2" t="s">
        <v>22531</v>
      </c>
      <c r="G14" s="2" t="s">
        <v>22532</v>
      </c>
      <c r="H14" s="2" t="s">
        <v>22533</v>
      </c>
      <c r="I14" s="8">
        <v>2</v>
      </c>
      <c r="J14" s="2" t="s">
        <v>22534</v>
      </c>
      <c r="K14" s="2"/>
      <c r="L14" s="2" t="s">
        <v>22472</v>
      </c>
      <c r="M14" s="2" t="s">
        <v>29</v>
      </c>
      <c r="N14" s="2" t="s">
        <v>5308</v>
      </c>
      <c r="O14" s="2"/>
      <c r="P14" s="2"/>
    </row>
    <row r="15" spans="1:16" ht="13.2" customHeight="1" x14ac:dyDescent="0.25">
      <c r="A15" s="8" t="s">
        <v>10130</v>
      </c>
      <c r="B15" s="2" t="s">
        <v>22535</v>
      </c>
      <c r="C15" s="2"/>
      <c r="D15" s="2" t="s">
        <v>22536</v>
      </c>
      <c r="E15" s="2" t="s">
        <v>22537</v>
      </c>
      <c r="F15" s="2" t="s">
        <v>22538</v>
      </c>
      <c r="G15" s="2" t="s">
        <v>22539</v>
      </c>
      <c r="H15" s="2" t="s">
        <v>22540</v>
      </c>
      <c r="I15" s="8">
        <v>4</v>
      </c>
      <c r="J15" s="2" t="s">
        <v>22541</v>
      </c>
      <c r="K15" s="2"/>
      <c r="L15" s="2" t="s">
        <v>22472</v>
      </c>
      <c r="M15" s="2" t="s">
        <v>29</v>
      </c>
      <c r="N15" s="2" t="s">
        <v>13040</v>
      </c>
      <c r="O15" s="2"/>
      <c r="P15" s="2"/>
    </row>
    <row r="16" spans="1:16" ht="13.2" customHeight="1" x14ac:dyDescent="0.25">
      <c r="A16" s="8" t="s">
        <v>10137</v>
      </c>
      <c r="B16" s="2" t="s">
        <v>22542</v>
      </c>
      <c r="C16" s="2"/>
      <c r="D16" s="8" t="s">
        <v>22543</v>
      </c>
      <c r="E16" s="8" t="s">
        <v>22544</v>
      </c>
      <c r="F16" s="8" t="s">
        <v>18869</v>
      </c>
      <c r="G16" s="8" t="s">
        <v>18870</v>
      </c>
      <c r="H16" s="8" t="s">
        <v>22545</v>
      </c>
      <c r="I16" s="8">
        <v>3</v>
      </c>
      <c r="J16" s="2" t="s">
        <v>22546</v>
      </c>
      <c r="K16" s="2"/>
      <c r="L16" s="2" t="s">
        <v>22472</v>
      </c>
      <c r="M16" s="2" t="s">
        <v>29</v>
      </c>
      <c r="N16" s="2" t="s">
        <v>5321</v>
      </c>
      <c r="O16" s="2"/>
      <c r="P16" s="2"/>
    </row>
    <row r="17" spans="1:16" ht="13.2" customHeight="1" x14ac:dyDescent="0.25">
      <c r="A17" s="8" t="s">
        <v>10142</v>
      </c>
      <c r="B17" s="2" t="s">
        <v>22547</v>
      </c>
      <c r="C17" s="2"/>
      <c r="D17" s="2" t="s">
        <v>2265</v>
      </c>
      <c r="E17" s="2" t="s">
        <v>22548</v>
      </c>
      <c r="F17" s="2" t="s">
        <v>22549</v>
      </c>
      <c r="G17" s="2" t="s">
        <v>22550</v>
      </c>
      <c r="H17" s="2" t="s">
        <v>22551</v>
      </c>
      <c r="I17" s="8">
        <v>5</v>
      </c>
      <c r="J17" s="2" t="s">
        <v>22552</v>
      </c>
      <c r="K17" s="2"/>
      <c r="L17" s="2" t="s">
        <v>22472</v>
      </c>
      <c r="M17" s="2" t="s">
        <v>29</v>
      </c>
      <c r="N17" s="2" t="s">
        <v>5329</v>
      </c>
      <c r="O17" s="2"/>
      <c r="P17" s="2"/>
    </row>
    <row r="18" spans="1:16" ht="13.2" customHeight="1" x14ac:dyDescent="0.25">
      <c r="A18" s="8" t="s">
        <v>10146</v>
      </c>
      <c r="B18" s="2" t="s">
        <v>22553</v>
      </c>
      <c r="C18" s="2"/>
      <c r="D18" s="2" t="s">
        <v>22554</v>
      </c>
      <c r="E18" s="2" t="s">
        <v>22555</v>
      </c>
      <c r="F18" s="2" t="s">
        <v>22556</v>
      </c>
      <c r="G18" s="2" t="s">
        <v>22557</v>
      </c>
      <c r="H18" s="2" t="s">
        <v>22558</v>
      </c>
      <c r="I18" s="8">
        <v>3</v>
      </c>
      <c r="J18" s="2" t="s">
        <v>22559</v>
      </c>
      <c r="K18" s="2"/>
      <c r="L18" s="2" t="s">
        <v>22472</v>
      </c>
      <c r="M18" s="2" t="s">
        <v>29</v>
      </c>
      <c r="N18" s="2" t="s">
        <v>12532</v>
      </c>
      <c r="O18" s="2"/>
      <c r="P18" s="2"/>
    </row>
    <row r="19" spans="1:16" ht="13.2" customHeight="1" x14ac:dyDescent="0.25">
      <c r="A19" s="8" t="s">
        <v>10154</v>
      </c>
      <c r="B19" s="2" t="s">
        <v>22560</v>
      </c>
      <c r="C19" s="2"/>
      <c r="D19" s="2" t="s">
        <v>22561</v>
      </c>
      <c r="E19" s="2" t="s">
        <v>22562</v>
      </c>
      <c r="F19" s="2" t="s">
        <v>22563</v>
      </c>
      <c r="G19" s="2" t="s">
        <v>22564</v>
      </c>
      <c r="H19" s="2" t="s">
        <v>22565</v>
      </c>
      <c r="I19" s="8">
        <v>2</v>
      </c>
      <c r="J19" s="2" t="s">
        <v>22566</v>
      </c>
      <c r="K19" s="2"/>
      <c r="L19" s="2" t="s">
        <v>22472</v>
      </c>
      <c r="M19" s="2" t="s">
        <v>29</v>
      </c>
      <c r="N19" s="2" t="s">
        <v>12286</v>
      </c>
      <c r="O19" s="2"/>
      <c r="P19" s="2"/>
    </row>
    <row r="20" spans="1:16" ht="13.2" customHeight="1" x14ac:dyDescent="0.25">
      <c r="A20" s="8" t="s">
        <v>10162</v>
      </c>
      <c r="B20" s="2" t="s">
        <v>22567</v>
      </c>
      <c r="C20" s="2"/>
      <c r="D20" s="2" t="s">
        <v>22515</v>
      </c>
      <c r="E20" s="2" t="s">
        <v>22568</v>
      </c>
      <c r="F20" s="2" t="s">
        <v>22569</v>
      </c>
      <c r="G20" s="2" t="s">
        <v>22570</v>
      </c>
      <c r="H20" s="2" t="s">
        <v>22571</v>
      </c>
      <c r="I20" s="8">
        <v>4</v>
      </c>
      <c r="J20" s="2" t="s">
        <v>22572</v>
      </c>
      <c r="K20" s="2"/>
      <c r="L20" s="2" t="s">
        <v>22472</v>
      </c>
      <c r="M20" s="2" t="s">
        <v>29</v>
      </c>
      <c r="N20" s="2" t="s">
        <v>5348</v>
      </c>
      <c r="O20" s="2"/>
      <c r="P20" s="2"/>
    </row>
    <row r="21" spans="1:16" ht="13.2" customHeight="1" x14ac:dyDescent="0.25">
      <c r="A21" s="8" t="s">
        <v>10169</v>
      </c>
      <c r="B21" s="2" t="s">
        <v>22573</v>
      </c>
      <c r="C21" s="2"/>
      <c r="D21" s="2" t="s">
        <v>22574</v>
      </c>
      <c r="E21" s="2" t="s">
        <v>22575</v>
      </c>
      <c r="F21" s="2" t="s">
        <v>22576</v>
      </c>
      <c r="G21" s="2" t="s">
        <v>22577</v>
      </c>
      <c r="H21" s="2" t="s">
        <v>22578</v>
      </c>
      <c r="I21" s="8">
        <v>1</v>
      </c>
      <c r="J21" s="2" t="s">
        <v>22579</v>
      </c>
      <c r="K21" s="2"/>
      <c r="L21" s="2" t="s">
        <v>22472</v>
      </c>
      <c r="M21" s="2" t="s">
        <v>29</v>
      </c>
      <c r="N21" s="2" t="s">
        <v>7130</v>
      </c>
      <c r="O21" s="2"/>
      <c r="P21" s="2"/>
    </row>
    <row r="22" spans="1:16" ht="13.2" customHeight="1" x14ac:dyDescent="0.25">
      <c r="A22" s="8" t="s">
        <v>10177</v>
      </c>
      <c r="B22" s="2" t="s">
        <v>22580</v>
      </c>
      <c r="C22" s="2"/>
      <c r="D22" s="2" t="s">
        <v>22581</v>
      </c>
      <c r="E22" s="2" t="s">
        <v>796</v>
      </c>
      <c r="F22" s="2" t="s">
        <v>22582</v>
      </c>
      <c r="G22" s="2" t="s">
        <v>22583</v>
      </c>
      <c r="H22" s="2" t="s">
        <v>22584</v>
      </c>
      <c r="I22" s="8">
        <v>5</v>
      </c>
      <c r="J22" s="2" t="s">
        <v>22585</v>
      </c>
      <c r="K22" s="2"/>
      <c r="L22" s="2" t="s">
        <v>22472</v>
      </c>
      <c r="M22" s="2" t="s">
        <v>29</v>
      </c>
      <c r="N22" s="2" t="s">
        <v>789</v>
      </c>
      <c r="O22" s="2"/>
      <c r="P22" s="2"/>
    </row>
    <row r="23" spans="1:16" ht="13.2" customHeight="1" x14ac:dyDescent="0.25">
      <c r="A23" s="8" t="s">
        <v>10183</v>
      </c>
      <c r="B23" s="2" t="s">
        <v>22586</v>
      </c>
      <c r="C23" s="2"/>
      <c r="D23" s="2" t="s">
        <v>22587</v>
      </c>
      <c r="E23" s="2" t="s">
        <v>22588</v>
      </c>
      <c r="F23" s="2" t="s">
        <v>22589</v>
      </c>
      <c r="G23" s="2" t="s">
        <v>22590</v>
      </c>
      <c r="H23" s="2" t="s">
        <v>22591</v>
      </c>
      <c r="I23" s="8">
        <v>1</v>
      </c>
      <c r="J23" s="2" t="s">
        <v>22592</v>
      </c>
      <c r="K23" s="2"/>
      <c r="L23" s="2" t="s">
        <v>22472</v>
      </c>
      <c r="M23" s="2" t="s">
        <v>29</v>
      </c>
      <c r="N23" s="2" t="s">
        <v>22593</v>
      </c>
      <c r="O23" s="2"/>
      <c r="P23" s="2"/>
    </row>
    <row r="24" spans="1:16" ht="13.2" customHeight="1" x14ac:dyDescent="0.25">
      <c r="A24" s="8" t="s">
        <v>10189</v>
      </c>
      <c r="B24" s="2" t="s">
        <v>22594</v>
      </c>
      <c r="C24" s="2"/>
      <c r="D24" s="2" t="s">
        <v>22595</v>
      </c>
      <c r="E24" s="2" t="s">
        <v>22596</v>
      </c>
      <c r="F24" s="2" t="s">
        <v>22597</v>
      </c>
      <c r="G24" s="2" t="s">
        <v>22598</v>
      </c>
      <c r="H24" s="2" t="s">
        <v>22599</v>
      </c>
      <c r="I24" s="8">
        <v>1</v>
      </c>
      <c r="J24" s="2" t="s">
        <v>22600</v>
      </c>
      <c r="K24" s="2"/>
      <c r="L24" s="2" t="s">
        <v>22472</v>
      </c>
      <c r="M24" s="2" t="s">
        <v>29</v>
      </c>
      <c r="N24" s="2" t="s">
        <v>3900</v>
      </c>
      <c r="O24" s="2"/>
      <c r="P24" s="2"/>
    </row>
    <row r="25" spans="1:16" ht="13.2" customHeight="1" x14ac:dyDescent="0.25">
      <c r="A25" s="8" t="s">
        <v>10197</v>
      </c>
      <c r="B25" s="2" t="s">
        <v>22601</v>
      </c>
      <c r="C25" s="2"/>
      <c r="D25" s="2" t="s">
        <v>13365</v>
      </c>
      <c r="E25" s="2" t="s">
        <v>13364</v>
      </c>
      <c r="F25" s="2" t="s">
        <v>22602</v>
      </c>
      <c r="G25" s="2" t="s">
        <v>22603</v>
      </c>
      <c r="H25" s="2" t="s">
        <v>22604</v>
      </c>
      <c r="I25" s="8">
        <v>2</v>
      </c>
      <c r="J25" s="2" t="s">
        <v>22605</v>
      </c>
      <c r="K25" s="2"/>
      <c r="L25" s="2" t="s">
        <v>22472</v>
      </c>
      <c r="M25" s="2" t="s">
        <v>29</v>
      </c>
      <c r="N25" s="2" t="s">
        <v>22606</v>
      </c>
      <c r="O25" s="2"/>
      <c r="P25" s="2"/>
    </row>
  </sheetData>
  <mergeCells count="1">
    <mergeCell ref="A1:F1"/>
  </mergeCell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33994C"/>
    <outlinePr summaryBelow="0" summaryRight="0"/>
  </sheetPr>
  <dimension ref="A1:Q88"/>
  <sheetViews>
    <sheetView workbookViewId="0"/>
  </sheetViews>
  <sheetFormatPr defaultColWidth="12.6640625" defaultRowHeight="15.75" customHeight="1" x14ac:dyDescent="0.25"/>
  <sheetData>
    <row r="1" spans="1:17" ht="34.950000000000003" customHeight="1" x14ac:dyDescent="0.25">
      <c r="A1" s="51" t="str">
        <f>HYPERLINK("#gid=0", "🏠 กลับสู่หน้าแรก (Go to Home Page)")</f>
        <v>🏠 กลับสู่หน้าแรก (Go to Home Page)</v>
      </c>
      <c r="B1" s="49"/>
      <c r="C1" s="49"/>
      <c r="D1" s="49"/>
      <c r="E1" s="49"/>
      <c r="F1" s="49"/>
    </row>
    <row r="2" spans="1:17" ht="21.6" customHeight="1" x14ac:dyDescent="0.25">
      <c r="A2" s="30" t="s">
        <v>10</v>
      </c>
      <c r="B2" s="30" t="s">
        <v>11</v>
      </c>
      <c r="C2" s="30" t="s">
        <v>12</v>
      </c>
      <c r="D2" s="30" t="s">
        <v>13</v>
      </c>
      <c r="E2" s="30" t="s">
        <v>14</v>
      </c>
      <c r="F2" s="30" t="s">
        <v>15</v>
      </c>
      <c r="G2" s="30" t="s">
        <v>16</v>
      </c>
      <c r="H2" s="30" t="s">
        <v>17</v>
      </c>
      <c r="I2" s="30" t="s">
        <v>154</v>
      </c>
      <c r="J2" s="30" t="s">
        <v>19</v>
      </c>
      <c r="K2" s="30" t="s">
        <v>20</v>
      </c>
      <c r="L2" s="30" t="s">
        <v>81</v>
      </c>
      <c r="M2" s="30" t="s">
        <v>155</v>
      </c>
      <c r="N2" s="30" t="s">
        <v>23</v>
      </c>
      <c r="O2" s="30" t="s">
        <v>24</v>
      </c>
      <c r="P2" s="30" t="s">
        <v>25</v>
      </c>
    </row>
    <row r="3" spans="1:17" ht="13.2" customHeight="1" x14ac:dyDescent="0.25">
      <c r="A3" s="8" t="s">
        <v>96</v>
      </c>
      <c r="B3" s="2" t="s">
        <v>22607</v>
      </c>
      <c r="C3" s="2"/>
      <c r="D3" s="2" t="s">
        <v>22608</v>
      </c>
      <c r="E3" s="2" t="s">
        <v>3106</v>
      </c>
      <c r="F3" s="2" t="s">
        <v>614</v>
      </c>
      <c r="G3" s="2" t="s">
        <v>22609</v>
      </c>
      <c r="H3" s="2" t="s">
        <v>345</v>
      </c>
      <c r="I3" s="8">
        <v>2</v>
      </c>
      <c r="J3" s="2" t="s">
        <v>22610</v>
      </c>
      <c r="K3" s="2"/>
      <c r="L3" s="2" t="s">
        <v>22611</v>
      </c>
      <c r="M3" s="2" t="s">
        <v>22612</v>
      </c>
      <c r="N3" s="2" t="s">
        <v>22613</v>
      </c>
      <c r="O3" s="2"/>
      <c r="P3" s="2"/>
      <c r="Q3" s="2"/>
    </row>
    <row r="4" spans="1:17" ht="13.2" customHeight="1" x14ac:dyDescent="0.25">
      <c r="A4" s="8" t="s">
        <v>90</v>
      </c>
      <c r="B4" s="2" t="s">
        <v>22614</v>
      </c>
      <c r="C4" s="2"/>
      <c r="D4" s="2" t="s">
        <v>22608</v>
      </c>
      <c r="E4" s="2" t="s">
        <v>2943</v>
      </c>
      <c r="F4" s="2" t="s">
        <v>22615</v>
      </c>
      <c r="G4" s="2" t="s">
        <v>22616</v>
      </c>
      <c r="H4" s="2" t="s">
        <v>345</v>
      </c>
      <c r="I4" s="8">
        <v>1</v>
      </c>
      <c r="J4" s="2" t="s">
        <v>22617</v>
      </c>
      <c r="K4" s="2"/>
      <c r="L4" s="2" t="s">
        <v>22611</v>
      </c>
      <c r="M4" s="2" t="s">
        <v>22612</v>
      </c>
      <c r="N4" s="2" t="s">
        <v>22618</v>
      </c>
      <c r="O4" s="2"/>
      <c r="P4" s="2"/>
      <c r="Q4" s="2"/>
    </row>
    <row r="5" spans="1:17" ht="13.2" customHeight="1" x14ac:dyDescent="0.25">
      <c r="A5" s="8" t="s">
        <v>113</v>
      </c>
      <c r="B5" s="2" t="s">
        <v>22619</v>
      </c>
      <c r="C5" s="2"/>
      <c r="D5" s="2" t="s">
        <v>22620</v>
      </c>
      <c r="E5" s="2" t="s">
        <v>22621</v>
      </c>
      <c r="F5" s="2" t="s">
        <v>22622</v>
      </c>
      <c r="G5" s="2" t="s">
        <v>22623</v>
      </c>
      <c r="H5" s="2" t="s">
        <v>22624</v>
      </c>
      <c r="I5" s="8">
        <v>1</v>
      </c>
      <c r="J5" s="2" t="s">
        <v>22625</v>
      </c>
      <c r="K5" s="2"/>
      <c r="L5" s="2" t="s">
        <v>22611</v>
      </c>
      <c r="M5" s="2" t="s">
        <v>22612</v>
      </c>
      <c r="N5" s="2" t="s">
        <v>22626</v>
      </c>
      <c r="O5" s="2"/>
      <c r="P5" s="2"/>
      <c r="Q5" s="2"/>
    </row>
    <row r="6" spans="1:17" ht="13.2" customHeight="1" x14ac:dyDescent="0.25">
      <c r="A6" s="8" t="s">
        <v>123</v>
      </c>
      <c r="B6" s="2" t="s">
        <v>22627</v>
      </c>
      <c r="C6" s="2"/>
      <c r="D6" s="2" t="s">
        <v>22628</v>
      </c>
      <c r="E6" s="2" t="s">
        <v>22629</v>
      </c>
      <c r="F6" s="2" t="s">
        <v>22630</v>
      </c>
      <c r="G6" s="2" t="s">
        <v>22631</v>
      </c>
      <c r="H6" s="2" t="s">
        <v>22632</v>
      </c>
      <c r="I6" s="8">
        <v>1</v>
      </c>
      <c r="J6" s="2" t="s">
        <v>22633</v>
      </c>
      <c r="K6" s="2"/>
      <c r="L6" s="2" t="s">
        <v>22611</v>
      </c>
      <c r="M6" s="2" t="s">
        <v>22612</v>
      </c>
      <c r="N6" s="2" t="s">
        <v>22634</v>
      </c>
      <c r="O6" s="2"/>
      <c r="P6" s="2"/>
      <c r="Q6" s="2"/>
    </row>
    <row r="7" spans="1:17" ht="13.2" customHeight="1" x14ac:dyDescent="0.25">
      <c r="A7" s="8" t="s">
        <v>132</v>
      </c>
      <c r="B7" s="2" t="s">
        <v>22635</v>
      </c>
      <c r="C7" s="2"/>
      <c r="D7" s="2" t="s">
        <v>22636</v>
      </c>
      <c r="E7" s="2" t="s">
        <v>17737</v>
      </c>
      <c r="F7" s="2" t="s">
        <v>22637</v>
      </c>
      <c r="G7" s="2" t="s">
        <v>22638</v>
      </c>
      <c r="H7" s="2" t="s">
        <v>22639</v>
      </c>
      <c r="I7" s="8">
        <v>1</v>
      </c>
      <c r="J7" s="2" t="s">
        <v>22640</v>
      </c>
      <c r="K7" s="2"/>
      <c r="L7" s="2" t="s">
        <v>22611</v>
      </c>
      <c r="M7" s="2" t="s">
        <v>22612</v>
      </c>
      <c r="N7" s="2" t="s">
        <v>22641</v>
      </c>
      <c r="O7" s="2"/>
      <c r="P7" s="2"/>
      <c r="Q7" s="2"/>
    </row>
    <row r="8" spans="1:17" ht="13.2" customHeight="1" x14ac:dyDescent="0.25">
      <c r="A8" s="8" t="s">
        <v>10084</v>
      </c>
      <c r="B8" s="2" t="s">
        <v>22642</v>
      </c>
      <c r="C8" s="2"/>
      <c r="D8" s="2" t="s">
        <v>22643</v>
      </c>
      <c r="E8" s="2" t="s">
        <v>22644</v>
      </c>
      <c r="F8" s="2" t="s">
        <v>22645</v>
      </c>
      <c r="G8" s="2" t="s">
        <v>22646</v>
      </c>
      <c r="H8" s="2" t="s">
        <v>22647</v>
      </c>
      <c r="I8" s="8">
        <v>1</v>
      </c>
      <c r="J8" s="2" t="s">
        <v>22648</v>
      </c>
      <c r="K8" s="2"/>
      <c r="L8" s="2" t="s">
        <v>22611</v>
      </c>
      <c r="M8" s="2" t="s">
        <v>22612</v>
      </c>
      <c r="N8" s="2" t="s">
        <v>22649</v>
      </c>
      <c r="O8" s="2"/>
      <c r="P8" s="2"/>
      <c r="Q8" s="2"/>
    </row>
    <row r="9" spans="1:17" ht="13.2" customHeight="1" x14ac:dyDescent="0.25">
      <c r="A9" s="8" t="s">
        <v>10093</v>
      </c>
      <c r="B9" s="2" t="s">
        <v>22650</v>
      </c>
      <c r="C9" s="2"/>
      <c r="D9" s="2" t="s">
        <v>345</v>
      </c>
      <c r="E9" s="2" t="s">
        <v>22651</v>
      </c>
      <c r="F9" s="2" t="s">
        <v>22652</v>
      </c>
      <c r="G9" s="2" t="s">
        <v>22653</v>
      </c>
      <c r="H9" s="2" t="s">
        <v>22654</v>
      </c>
      <c r="I9" s="8">
        <v>1</v>
      </c>
      <c r="J9" s="2" t="s">
        <v>22655</v>
      </c>
      <c r="K9" s="2"/>
      <c r="L9" s="2" t="s">
        <v>22611</v>
      </c>
      <c r="M9" s="2" t="s">
        <v>22612</v>
      </c>
      <c r="N9" s="2" t="s">
        <v>22656</v>
      </c>
      <c r="O9" s="2"/>
      <c r="P9" s="2"/>
      <c r="Q9" s="2"/>
    </row>
    <row r="10" spans="1:17" ht="13.2" customHeight="1" x14ac:dyDescent="0.25">
      <c r="A10" s="8" t="s">
        <v>10102</v>
      </c>
      <c r="B10" s="2" t="s">
        <v>22657</v>
      </c>
      <c r="C10" s="2"/>
      <c r="D10" s="2" t="s">
        <v>19901</v>
      </c>
      <c r="E10" s="2" t="s">
        <v>22658</v>
      </c>
      <c r="F10" s="2" t="s">
        <v>19903</v>
      </c>
      <c r="G10" s="2" t="s">
        <v>22659</v>
      </c>
      <c r="H10" s="2" t="s">
        <v>22660</v>
      </c>
      <c r="I10" s="8">
        <v>1</v>
      </c>
      <c r="J10" s="2" t="s">
        <v>22661</v>
      </c>
      <c r="K10" s="2"/>
      <c r="L10" s="2" t="s">
        <v>22611</v>
      </c>
      <c r="M10" s="2" t="s">
        <v>22612</v>
      </c>
      <c r="N10" s="2" t="s">
        <v>22662</v>
      </c>
      <c r="O10" s="2"/>
      <c r="P10" s="2"/>
      <c r="Q10" s="2"/>
    </row>
    <row r="11" spans="1:17" ht="13.2" customHeight="1" x14ac:dyDescent="0.25">
      <c r="A11" s="8" t="s">
        <v>10111</v>
      </c>
      <c r="B11" s="2" t="s">
        <v>22663</v>
      </c>
      <c r="C11" s="2"/>
      <c r="D11" s="2" t="s">
        <v>4761</v>
      </c>
      <c r="E11" s="2" t="s">
        <v>4762</v>
      </c>
      <c r="F11" s="2" t="s">
        <v>4763</v>
      </c>
      <c r="G11" s="2" t="s">
        <v>4764</v>
      </c>
      <c r="H11" s="2" t="s">
        <v>22664</v>
      </c>
      <c r="I11" s="8">
        <v>1</v>
      </c>
      <c r="J11" s="2" t="s">
        <v>22665</v>
      </c>
      <c r="K11" s="2"/>
      <c r="L11" s="2" t="s">
        <v>22611</v>
      </c>
      <c r="M11" s="2" t="s">
        <v>22612</v>
      </c>
      <c r="N11" s="2" t="s">
        <v>4767</v>
      </c>
      <c r="O11" s="2"/>
      <c r="P11" s="2"/>
      <c r="Q11" s="2"/>
    </row>
    <row r="12" spans="1:17" ht="13.2" customHeight="1" x14ac:dyDescent="0.25">
      <c r="A12" s="8" t="s">
        <v>10119</v>
      </c>
      <c r="B12" s="2" t="s">
        <v>22666</v>
      </c>
      <c r="C12" s="2"/>
      <c r="D12" s="2" t="s">
        <v>22612</v>
      </c>
      <c r="E12" s="2" t="s">
        <v>22667</v>
      </c>
      <c r="F12" s="2" t="s">
        <v>22668</v>
      </c>
      <c r="G12" s="2" t="s">
        <v>22669</v>
      </c>
      <c r="H12" s="2" t="s">
        <v>22670</v>
      </c>
      <c r="I12" s="8">
        <v>1</v>
      </c>
      <c r="J12" s="2" t="s">
        <v>22671</v>
      </c>
      <c r="K12" s="2"/>
      <c r="L12" s="2" t="s">
        <v>22611</v>
      </c>
      <c r="M12" s="2" t="s">
        <v>22612</v>
      </c>
      <c r="N12" s="2" t="s">
        <v>22672</v>
      </c>
      <c r="O12" s="2"/>
      <c r="P12" s="2"/>
    </row>
    <row r="13" spans="1:17" ht="13.2" customHeight="1" x14ac:dyDescent="0.25">
      <c r="A13" s="8" t="s">
        <v>10123</v>
      </c>
      <c r="B13" s="2" t="s">
        <v>22673</v>
      </c>
      <c r="C13" s="2"/>
      <c r="D13" s="2" t="s">
        <v>22612</v>
      </c>
      <c r="E13" s="2" t="s">
        <v>22670</v>
      </c>
      <c r="F13" s="2" t="s">
        <v>22674</v>
      </c>
      <c r="G13" s="2" t="s">
        <v>22675</v>
      </c>
      <c r="H13" s="2" t="s">
        <v>22676</v>
      </c>
      <c r="I13" s="8">
        <v>1</v>
      </c>
      <c r="J13" s="2" t="s">
        <v>22677</v>
      </c>
      <c r="K13" s="2"/>
      <c r="L13" s="2" t="s">
        <v>22611</v>
      </c>
      <c r="M13" s="2" t="s">
        <v>22612</v>
      </c>
      <c r="N13" s="2" t="s">
        <v>22678</v>
      </c>
      <c r="O13" s="2"/>
      <c r="P13" s="2"/>
    </row>
    <row r="14" spans="1:17" ht="13.2" customHeight="1" x14ac:dyDescent="0.25">
      <c r="A14" s="8" t="s">
        <v>10130</v>
      </c>
      <c r="B14" s="2" t="s">
        <v>22679</v>
      </c>
      <c r="C14" s="2"/>
      <c r="D14" s="2" t="s">
        <v>22612</v>
      </c>
      <c r="E14" s="2" t="s">
        <v>22676</v>
      </c>
      <c r="F14" s="2" t="s">
        <v>22680</v>
      </c>
      <c r="G14" s="2" t="s">
        <v>22667</v>
      </c>
      <c r="H14" s="2" t="s">
        <v>22668</v>
      </c>
      <c r="I14" s="8">
        <v>1</v>
      </c>
      <c r="J14" s="2" t="s">
        <v>22681</v>
      </c>
      <c r="K14" s="2"/>
      <c r="L14" s="2" t="s">
        <v>22611</v>
      </c>
      <c r="M14" s="2" t="s">
        <v>22612</v>
      </c>
      <c r="N14" s="2" t="s">
        <v>4814</v>
      </c>
      <c r="O14" s="2"/>
      <c r="P14" s="2"/>
    </row>
    <row r="15" spans="1:17" ht="13.2" customHeight="1" x14ac:dyDescent="0.25">
      <c r="A15" s="8" t="s">
        <v>10137</v>
      </c>
      <c r="B15" s="2" t="s">
        <v>22682</v>
      </c>
      <c r="C15" s="2"/>
      <c r="D15" s="2" t="s">
        <v>3107</v>
      </c>
      <c r="E15" s="2" t="s">
        <v>22683</v>
      </c>
      <c r="F15" s="2" t="s">
        <v>22684</v>
      </c>
      <c r="G15" s="2" t="s">
        <v>2950</v>
      </c>
      <c r="H15" s="2" t="s">
        <v>11824</v>
      </c>
      <c r="I15" s="8">
        <v>1</v>
      </c>
      <c r="J15" s="2" t="s">
        <v>22685</v>
      </c>
      <c r="K15" s="2"/>
      <c r="L15" s="2" t="s">
        <v>22611</v>
      </c>
      <c r="M15" s="2" t="s">
        <v>22612</v>
      </c>
      <c r="N15" s="2" t="s">
        <v>21210</v>
      </c>
      <c r="O15" s="2"/>
      <c r="P15" s="2"/>
      <c r="Q15" s="2"/>
    </row>
    <row r="16" spans="1:17" ht="13.2" customHeight="1" x14ac:dyDescent="0.25">
      <c r="A16" s="8" t="s">
        <v>10142</v>
      </c>
      <c r="B16" s="2" t="s">
        <v>22686</v>
      </c>
      <c r="C16" s="2"/>
      <c r="D16" s="2" t="s">
        <v>22612</v>
      </c>
      <c r="E16" s="2" t="s">
        <v>2950</v>
      </c>
      <c r="F16" s="2" t="s">
        <v>5429</v>
      </c>
      <c r="G16" s="2" t="s">
        <v>22687</v>
      </c>
      <c r="H16" s="2" t="s">
        <v>22688</v>
      </c>
      <c r="I16" s="8">
        <v>1</v>
      </c>
      <c r="J16" s="2" t="s">
        <v>22689</v>
      </c>
      <c r="K16" s="2"/>
      <c r="L16" s="2" t="s">
        <v>22611</v>
      </c>
      <c r="M16" s="2" t="s">
        <v>22612</v>
      </c>
      <c r="N16" s="2" t="s">
        <v>22690</v>
      </c>
      <c r="O16" s="2"/>
      <c r="P16" s="2"/>
    </row>
    <row r="17" spans="1:17" ht="13.2" customHeight="1" x14ac:dyDescent="0.25">
      <c r="A17" s="8" t="s">
        <v>10146</v>
      </c>
      <c r="B17" s="2" t="s">
        <v>22691</v>
      </c>
      <c r="C17" s="2"/>
      <c r="D17" s="2" t="s">
        <v>22612</v>
      </c>
      <c r="E17" s="2" t="s">
        <v>21512</v>
      </c>
      <c r="F17" s="2" t="s">
        <v>22667</v>
      </c>
      <c r="G17" s="2" t="s">
        <v>22668</v>
      </c>
      <c r="H17" s="2" t="s">
        <v>22669</v>
      </c>
      <c r="I17" s="8">
        <v>1</v>
      </c>
      <c r="J17" s="2" t="s">
        <v>22692</v>
      </c>
      <c r="K17" s="2"/>
      <c r="L17" s="2" t="s">
        <v>22611</v>
      </c>
      <c r="M17" s="2" t="s">
        <v>22612</v>
      </c>
      <c r="N17" s="2" t="s">
        <v>22693</v>
      </c>
      <c r="O17" s="2"/>
      <c r="P17" s="2"/>
    </row>
    <row r="18" spans="1:17" ht="13.2" customHeight="1" x14ac:dyDescent="0.25">
      <c r="A18" s="8" t="s">
        <v>10154</v>
      </c>
      <c r="B18" s="2" t="s">
        <v>22694</v>
      </c>
      <c r="C18" s="2"/>
      <c r="D18" s="2" t="s">
        <v>10989</v>
      </c>
      <c r="E18" s="2" t="s">
        <v>614</v>
      </c>
      <c r="F18" s="2" t="s">
        <v>3108</v>
      </c>
      <c r="G18" s="2" t="s">
        <v>348</v>
      </c>
      <c r="H18" s="2" t="s">
        <v>22695</v>
      </c>
      <c r="I18" s="8">
        <v>1</v>
      </c>
      <c r="J18" s="2" t="s">
        <v>22696</v>
      </c>
      <c r="K18" s="2"/>
      <c r="L18" s="2" t="s">
        <v>22611</v>
      </c>
      <c r="M18" s="2" t="s">
        <v>22612</v>
      </c>
      <c r="N18" s="2" t="s">
        <v>22697</v>
      </c>
      <c r="O18" s="2"/>
      <c r="P18" s="2"/>
      <c r="Q18" s="2"/>
    </row>
    <row r="19" spans="1:17" ht="13.2" customHeight="1" x14ac:dyDescent="0.25">
      <c r="A19" s="8" t="s">
        <v>10162</v>
      </c>
      <c r="B19" s="2" t="s">
        <v>22698</v>
      </c>
      <c r="C19" s="2"/>
      <c r="D19" s="2" t="s">
        <v>22699</v>
      </c>
      <c r="E19" s="2" t="s">
        <v>22700</v>
      </c>
      <c r="F19" s="2" t="s">
        <v>1059</v>
      </c>
      <c r="G19" s="2" t="s">
        <v>22701</v>
      </c>
      <c r="H19" s="2" t="s">
        <v>22702</v>
      </c>
      <c r="I19" s="8">
        <v>1</v>
      </c>
      <c r="J19" s="2" t="s">
        <v>22703</v>
      </c>
      <c r="K19" s="2"/>
      <c r="L19" s="2" t="s">
        <v>22611</v>
      </c>
      <c r="M19" s="2" t="s">
        <v>22612</v>
      </c>
      <c r="N19" s="2" t="s">
        <v>22704</v>
      </c>
      <c r="O19" s="2"/>
      <c r="P19" s="2"/>
      <c r="Q19" s="2"/>
    </row>
    <row r="20" spans="1:17" ht="13.2" customHeight="1" x14ac:dyDescent="0.25">
      <c r="A20" s="8" t="s">
        <v>10169</v>
      </c>
      <c r="B20" s="2" t="s">
        <v>22705</v>
      </c>
      <c r="C20" s="2"/>
      <c r="D20" s="2" t="s">
        <v>875</v>
      </c>
      <c r="E20" s="2" t="s">
        <v>348</v>
      </c>
      <c r="F20" s="2" t="s">
        <v>10989</v>
      </c>
      <c r="G20" s="2" t="s">
        <v>614</v>
      </c>
      <c r="H20" s="2" t="s">
        <v>22706</v>
      </c>
      <c r="I20" s="8">
        <v>1</v>
      </c>
      <c r="J20" s="2" t="s">
        <v>22707</v>
      </c>
      <c r="K20" s="2"/>
      <c r="L20" s="2" t="s">
        <v>22611</v>
      </c>
      <c r="M20" s="2" t="s">
        <v>22612</v>
      </c>
      <c r="N20" s="2" t="s">
        <v>22708</v>
      </c>
      <c r="O20" s="2"/>
      <c r="P20" s="2"/>
      <c r="Q20" s="2"/>
    </row>
    <row r="21" spans="1:17" ht="13.2" customHeight="1" x14ac:dyDescent="0.25">
      <c r="A21" s="8" t="s">
        <v>10177</v>
      </c>
      <c r="B21" s="2" t="s">
        <v>22709</v>
      </c>
      <c r="C21" s="2"/>
      <c r="D21" s="2" t="s">
        <v>22612</v>
      </c>
      <c r="E21" s="2" t="s">
        <v>22710</v>
      </c>
      <c r="F21" s="2" t="s">
        <v>22711</v>
      </c>
      <c r="G21" s="2" t="s">
        <v>22712</v>
      </c>
      <c r="H21" s="2" t="s">
        <v>22676</v>
      </c>
      <c r="I21" s="8">
        <v>1</v>
      </c>
      <c r="J21" s="2" t="s">
        <v>22713</v>
      </c>
      <c r="K21" s="2"/>
      <c r="L21" s="2" t="s">
        <v>22611</v>
      </c>
      <c r="M21" s="2" t="s">
        <v>22612</v>
      </c>
      <c r="N21" s="2" t="s">
        <v>22714</v>
      </c>
      <c r="O21" s="2"/>
      <c r="P21" s="2"/>
    </row>
    <row r="22" spans="1:17" ht="13.2" customHeight="1" x14ac:dyDescent="0.25">
      <c r="A22" s="2">
        <v>20</v>
      </c>
      <c r="B22" s="2" t="s">
        <v>22715</v>
      </c>
      <c r="C22" s="2"/>
      <c r="D22" s="2" t="s">
        <v>703</v>
      </c>
      <c r="E22" s="2" t="s">
        <v>22716</v>
      </c>
      <c r="F22" s="2" t="s">
        <v>22717</v>
      </c>
      <c r="G22" s="2" t="s">
        <v>22718</v>
      </c>
      <c r="H22" s="2" t="s">
        <v>22719</v>
      </c>
      <c r="I22" s="2">
        <v>1</v>
      </c>
      <c r="J22" s="2" t="s">
        <v>22720</v>
      </c>
      <c r="K22" s="2"/>
      <c r="L22" s="2" t="s">
        <v>22611</v>
      </c>
      <c r="M22" s="2" t="s">
        <v>9</v>
      </c>
      <c r="N22" s="2" t="s">
        <v>21299</v>
      </c>
      <c r="O22" s="2"/>
      <c r="P22" s="2"/>
    </row>
    <row r="23" spans="1:17" ht="13.2" customHeight="1" x14ac:dyDescent="0.25">
      <c r="A23" s="2">
        <v>21</v>
      </c>
      <c r="B23" s="2" t="s">
        <v>22721</v>
      </c>
      <c r="C23" s="2"/>
      <c r="D23" s="2" t="s">
        <v>10989</v>
      </c>
      <c r="E23" s="2" t="s">
        <v>3108</v>
      </c>
      <c r="F23" s="2" t="s">
        <v>347</v>
      </c>
      <c r="G23" s="2" t="s">
        <v>22722</v>
      </c>
      <c r="H23" s="2" t="s">
        <v>614</v>
      </c>
      <c r="I23" s="2">
        <v>1</v>
      </c>
      <c r="J23" s="2" t="s">
        <v>22723</v>
      </c>
      <c r="K23" s="2"/>
      <c r="L23" s="2" t="s">
        <v>22611</v>
      </c>
      <c r="M23" s="2" t="s">
        <v>9</v>
      </c>
      <c r="N23" s="2" t="s">
        <v>22724</v>
      </c>
      <c r="O23" s="2"/>
      <c r="P23" s="2"/>
    </row>
    <row r="24" spans="1:17" ht="13.2" customHeight="1" x14ac:dyDescent="0.25">
      <c r="A24" s="2">
        <v>22</v>
      </c>
      <c r="B24" s="2" t="s">
        <v>22725</v>
      </c>
      <c r="C24" s="2"/>
      <c r="D24" s="2" t="s">
        <v>345</v>
      </c>
      <c r="E24" s="2" t="s">
        <v>347</v>
      </c>
      <c r="F24" s="2" t="s">
        <v>8526</v>
      </c>
      <c r="G24" s="2" t="s">
        <v>22726</v>
      </c>
      <c r="H24" s="2" t="s">
        <v>3108</v>
      </c>
      <c r="I24" s="2">
        <v>1</v>
      </c>
      <c r="J24" s="2" t="s">
        <v>22727</v>
      </c>
      <c r="K24" s="2"/>
      <c r="L24" s="2" t="s">
        <v>22611</v>
      </c>
      <c r="M24" s="2" t="s">
        <v>9</v>
      </c>
      <c r="N24" s="2" t="s">
        <v>22728</v>
      </c>
      <c r="O24" s="2"/>
      <c r="P24" s="2"/>
    </row>
    <row r="25" spans="1:17" ht="13.2" customHeight="1" x14ac:dyDescent="0.25">
      <c r="A25" s="2">
        <v>23</v>
      </c>
      <c r="B25" s="2" t="s">
        <v>22729</v>
      </c>
      <c r="C25" s="2"/>
      <c r="D25" s="2" t="s">
        <v>22730</v>
      </c>
      <c r="E25" s="2" t="s">
        <v>12747</v>
      </c>
      <c r="F25" s="2" t="s">
        <v>22731</v>
      </c>
      <c r="G25" s="2" t="s">
        <v>22608</v>
      </c>
      <c r="H25" s="2" t="s">
        <v>22732</v>
      </c>
      <c r="I25" s="2">
        <v>1</v>
      </c>
      <c r="J25" s="2" t="s">
        <v>22733</v>
      </c>
      <c r="K25" s="2"/>
      <c r="L25" s="2" t="s">
        <v>22611</v>
      </c>
      <c r="M25" s="2" t="s">
        <v>9</v>
      </c>
      <c r="N25" s="2" t="s">
        <v>22734</v>
      </c>
      <c r="O25" s="2"/>
      <c r="P25" s="2"/>
    </row>
    <row r="26" spans="1:17" ht="13.2" customHeight="1" x14ac:dyDescent="0.25">
      <c r="A26" s="2">
        <v>24</v>
      </c>
      <c r="B26" s="2" t="s">
        <v>22735</v>
      </c>
      <c r="C26" s="2"/>
      <c r="D26" s="2" t="s">
        <v>22736</v>
      </c>
      <c r="E26" s="2" t="s">
        <v>22737</v>
      </c>
      <c r="F26" s="2" t="s">
        <v>22738</v>
      </c>
      <c r="G26" s="2" t="s">
        <v>22739</v>
      </c>
      <c r="H26" s="2" t="s">
        <v>22740</v>
      </c>
      <c r="I26" s="2">
        <v>1</v>
      </c>
      <c r="J26" s="2" t="s">
        <v>22741</v>
      </c>
      <c r="K26" s="2"/>
      <c r="L26" s="2" t="s">
        <v>22611</v>
      </c>
      <c r="M26" s="2" t="s">
        <v>9</v>
      </c>
      <c r="N26" s="2" t="s">
        <v>22742</v>
      </c>
      <c r="O26" s="2"/>
      <c r="P26" s="2"/>
    </row>
    <row r="27" spans="1:17" ht="13.2" customHeight="1" x14ac:dyDescent="0.25">
      <c r="A27" s="2">
        <v>25</v>
      </c>
      <c r="B27" s="2" t="s">
        <v>22743</v>
      </c>
      <c r="C27" s="2"/>
      <c r="D27" s="2" t="s">
        <v>22736</v>
      </c>
      <c r="E27" s="2" t="s">
        <v>8384</v>
      </c>
      <c r="F27" s="2" t="s">
        <v>22744</v>
      </c>
      <c r="G27" s="2" t="s">
        <v>22745</v>
      </c>
      <c r="H27" s="2" t="s">
        <v>22746</v>
      </c>
      <c r="I27" s="2">
        <v>1</v>
      </c>
      <c r="J27" s="2" t="s">
        <v>22747</v>
      </c>
      <c r="K27" s="2"/>
      <c r="L27" s="2" t="s">
        <v>22611</v>
      </c>
      <c r="M27" s="2" t="s">
        <v>9</v>
      </c>
      <c r="N27" s="2" t="s">
        <v>22748</v>
      </c>
      <c r="O27" s="2"/>
      <c r="P27" s="2"/>
    </row>
    <row r="28" spans="1:17" ht="13.2" customHeight="1" x14ac:dyDescent="0.25">
      <c r="A28" s="2">
        <v>26</v>
      </c>
      <c r="B28" s="2" t="s">
        <v>22749</v>
      </c>
      <c r="C28" s="2"/>
      <c r="D28" s="2" t="s">
        <v>20094</v>
      </c>
      <c r="E28" s="2" t="s">
        <v>20095</v>
      </c>
      <c r="F28" s="2" t="s">
        <v>20096</v>
      </c>
      <c r="G28" s="2" t="s">
        <v>20097</v>
      </c>
      <c r="H28" s="2" t="s">
        <v>20098</v>
      </c>
      <c r="I28" s="2">
        <v>1</v>
      </c>
      <c r="J28" s="2" t="s">
        <v>22750</v>
      </c>
      <c r="K28" s="2"/>
      <c r="L28" s="2" t="s">
        <v>22611</v>
      </c>
      <c r="M28" s="2" t="s">
        <v>9</v>
      </c>
      <c r="N28" s="2" t="s">
        <v>22751</v>
      </c>
      <c r="O28" s="2"/>
      <c r="P28" s="2"/>
    </row>
    <row r="29" spans="1:17" ht="13.2" customHeight="1" x14ac:dyDescent="0.25">
      <c r="A29" s="2">
        <v>27</v>
      </c>
      <c r="B29" s="2" t="s">
        <v>22752</v>
      </c>
      <c r="C29" s="2"/>
      <c r="D29" s="2" t="s">
        <v>10989</v>
      </c>
      <c r="E29" s="2" t="s">
        <v>22753</v>
      </c>
      <c r="F29" s="2" t="s">
        <v>22754</v>
      </c>
      <c r="G29" s="2" t="s">
        <v>22755</v>
      </c>
      <c r="H29" s="2" t="s">
        <v>22756</v>
      </c>
      <c r="I29" s="2">
        <v>1</v>
      </c>
      <c r="J29" s="2" t="s">
        <v>22757</v>
      </c>
      <c r="K29" s="2"/>
      <c r="L29" s="2" t="s">
        <v>22611</v>
      </c>
      <c r="M29" s="2" t="s">
        <v>9</v>
      </c>
      <c r="N29" s="2" t="s">
        <v>22758</v>
      </c>
      <c r="O29" s="2"/>
      <c r="P29" s="2"/>
    </row>
    <row r="30" spans="1:17" ht="13.2" customHeight="1" x14ac:dyDescent="0.25">
      <c r="A30" s="2">
        <v>28</v>
      </c>
      <c r="B30" s="2" t="s">
        <v>22759</v>
      </c>
      <c r="C30" s="2"/>
      <c r="D30" s="2" t="s">
        <v>22636</v>
      </c>
      <c r="E30" s="2" t="s">
        <v>22760</v>
      </c>
      <c r="F30" s="2" t="s">
        <v>17737</v>
      </c>
      <c r="G30" s="2" t="s">
        <v>22761</v>
      </c>
      <c r="H30" s="2" t="s">
        <v>22762</v>
      </c>
      <c r="I30" s="2">
        <v>1</v>
      </c>
      <c r="J30" s="2" t="s">
        <v>22763</v>
      </c>
      <c r="K30" s="2"/>
      <c r="L30" s="2" t="s">
        <v>22611</v>
      </c>
      <c r="M30" s="2" t="s">
        <v>9</v>
      </c>
      <c r="N30" s="2" t="s">
        <v>22764</v>
      </c>
      <c r="O30" s="2"/>
      <c r="P30" s="2"/>
    </row>
    <row r="31" spans="1:17" ht="13.2" customHeight="1" x14ac:dyDescent="0.25">
      <c r="A31" s="2">
        <v>29</v>
      </c>
      <c r="B31" s="2" t="s">
        <v>22765</v>
      </c>
      <c r="C31" s="2"/>
      <c r="D31" s="2" t="s">
        <v>22766</v>
      </c>
      <c r="E31" s="2" t="s">
        <v>22767</v>
      </c>
      <c r="F31" s="2" t="s">
        <v>22768</v>
      </c>
      <c r="G31" s="2" t="s">
        <v>22769</v>
      </c>
      <c r="H31" s="2" t="s">
        <v>22770</v>
      </c>
      <c r="I31" s="2">
        <v>1</v>
      </c>
      <c r="J31" s="2" t="s">
        <v>22771</v>
      </c>
      <c r="K31" s="2"/>
      <c r="L31" s="2" t="s">
        <v>22611</v>
      </c>
      <c r="M31" s="2" t="s">
        <v>9</v>
      </c>
      <c r="N31" s="2" t="s">
        <v>22772</v>
      </c>
      <c r="O31" s="2"/>
      <c r="P31" s="2"/>
    </row>
    <row r="32" spans="1:17" ht="13.2" customHeight="1" x14ac:dyDescent="0.25">
      <c r="A32" s="2">
        <v>30</v>
      </c>
      <c r="B32" s="2" t="s">
        <v>22773</v>
      </c>
      <c r="C32" s="2"/>
      <c r="D32" s="2" t="s">
        <v>19949</v>
      </c>
      <c r="E32" s="2" t="s">
        <v>5429</v>
      </c>
      <c r="F32" s="2" t="s">
        <v>22774</v>
      </c>
      <c r="G32" s="2" t="s">
        <v>22775</v>
      </c>
      <c r="H32" s="2" t="s">
        <v>22776</v>
      </c>
      <c r="I32" s="2">
        <v>1</v>
      </c>
      <c r="J32" s="2" t="s">
        <v>22777</v>
      </c>
      <c r="K32" s="2"/>
      <c r="L32" s="2" t="s">
        <v>22611</v>
      </c>
      <c r="M32" s="2" t="s">
        <v>9</v>
      </c>
      <c r="N32" s="2" t="s">
        <v>22778</v>
      </c>
      <c r="O32" s="2"/>
      <c r="P32" s="2"/>
    </row>
    <row r="33" spans="1:16" ht="13.2" customHeight="1" x14ac:dyDescent="0.25">
      <c r="A33" s="2">
        <v>31</v>
      </c>
      <c r="B33" s="2" t="s">
        <v>22779</v>
      </c>
      <c r="C33" s="2"/>
      <c r="D33" s="2" t="s">
        <v>22780</v>
      </c>
      <c r="E33" s="2" t="s">
        <v>347</v>
      </c>
      <c r="F33" s="2" t="s">
        <v>22781</v>
      </c>
      <c r="G33" s="2" t="s">
        <v>22782</v>
      </c>
      <c r="H33" s="2" t="s">
        <v>22783</v>
      </c>
      <c r="I33" s="2">
        <v>1</v>
      </c>
      <c r="J33" s="2" t="s">
        <v>22784</v>
      </c>
      <c r="K33" s="2"/>
      <c r="L33" s="2" t="s">
        <v>22611</v>
      </c>
      <c r="M33" s="2" t="s">
        <v>9</v>
      </c>
      <c r="N33" s="2" t="s">
        <v>22785</v>
      </c>
      <c r="O33" s="2"/>
      <c r="P33" s="2"/>
    </row>
    <row r="34" spans="1:16" ht="13.2" customHeight="1" x14ac:dyDescent="0.25">
      <c r="A34" s="2">
        <v>32</v>
      </c>
      <c r="B34" s="2" t="s">
        <v>22786</v>
      </c>
      <c r="C34" s="2"/>
      <c r="D34" s="2" t="s">
        <v>10989</v>
      </c>
      <c r="E34" s="2" t="s">
        <v>347</v>
      </c>
      <c r="F34" s="2" t="s">
        <v>614</v>
      </c>
      <c r="G34" s="2" t="s">
        <v>22787</v>
      </c>
      <c r="H34" s="2" t="s">
        <v>22782</v>
      </c>
      <c r="I34" s="2">
        <v>1</v>
      </c>
      <c r="J34" s="2" t="s">
        <v>22788</v>
      </c>
      <c r="K34" s="2"/>
      <c r="L34" s="2" t="s">
        <v>22611</v>
      </c>
      <c r="M34" s="2" t="s">
        <v>9</v>
      </c>
      <c r="N34" s="2" t="s">
        <v>22789</v>
      </c>
      <c r="O34" s="2"/>
      <c r="P34" s="2"/>
    </row>
    <row r="35" spans="1:16" ht="13.2" customHeight="1" x14ac:dyDescent="0.25">
      <c r="A35" s="2">
        <v>33</v>
      </c>
      <c r="B35" s="2" t="s">
        <v>22790</v>
      </c>
      <c r="C35" s="2"/>
      <c r="D35" s="2" t="s">
        <v>349</v>
      </c>
      <c r="E35" s="2" t="s">
        <v>614</v>
      </c>
      <c r="F35" s="2" t="s">
        <v>22791</v>
      </c>
      <c r="G35" s="2" t="s">
        <v>5429</v>
      </c>
      <c r="H35" s="2" t="s">
        <v>22792</v>
      </c>
      <c r="I35" s="2">
        <v>1</v>
      </c>
      <c r="J35" s="2" t="s">
        <v>22793</v>
      </c>
      <c r="K35" s="2"/>
      <c r="L35" s="2" t="s">
        <v>22611</v>
      </c>
      <c r="M35" s="2" t="s">
        <v>9</v>
      </c>
      <c r="N35" s="2" t="s">
        <v>22794</v>
      </c>
      <c r="O35" s="2"/>
      <c r="P35" s="2"/>
    </row>
    <row r="36" spans="1:16" ht="13.2" customHeight="1" x14ac:dyDescent="0.25">
      <c r="A36" s="2">
        <v>34</v>
      </c>
      <c r="B36" s="2" t="s">
        <v>22795</v>
      </c>
      <c r="C36" s="2"/>
      <c r="D36" s="2" t="s">
        <v>10989</v>
      </c>
      <c r="E36" s="2" t="s">
        <v>3106</v>
      </c>
      <c r="F36" s="2" t="s">
        <v>10994</v>
      </c>
      <c r="G36" s="2" t="s">
        <v>2273</v>
      </c>
      <c r="H36" s="2" t="s">
        <v>22670</v>
      </c>
      <c r="I36" s="2">
        <v>1</v>
      </c>
      <c r="J36" s="2" t="s">
        <v>22796</v>
      </c>
      <c r="K36" s="2"/>
      <c r="L36" s="2" t="s">
        <v>22611</v>
      </c>
      <c r="M36" s="2" t="s">
        <v>9</v>
      </c>
      <c r="N36" s="2" t="s">
        <v>2228</v>
      </c>
      <c r="O36" s="2"/>
      <c r="P36" s="2"/>
    </row>
    <row r="37" spans="1:16" ht="13.2" customHeight="1" x14ac:dyDescent="0.25">
      <c r="A37" s="2">
        <v>35</v>
      </c>
      <c r="B37" s="2" t="s">
        <v>22797</v>
      </c>
      <c r="C37" s="2"/>
      <c r="D37" s="2" t="s">
        <v>10989</v>
      </c>
      <c r="E37" s="2" t="s">
        <v>22798</v>
      </c>
      <c r="F37" s="2" t="s">
        <v>348</v>
      </c>
      <c r="G37" s="2" t="s">
        <v>2945</v>
      </c>
      <c r="H37" s="2" t="s">
        <v>22799</v>
      </c>
      <c r="I37" s="2">
        <v>1</v>
      </c>
      <c r="J37" s="2" t="s">
        <v>22800</v>
      </c>
      <c r="K37" s="2"/>
      <c r="L37" s="2" t="s">
        <v>22611</v>
      </c>
      <c r="M37" s="2" t="s">
        <v>9</v>
      </c>
      <c r="N37" s="2" t="s">
        <v>22801</v>
      </c>
      <c r="O37" s="2"/>
      <c r="P37" s="2"/>
    </row>
    <row r="38" spans="1:16" ht="13.2" customHeight="1" x14ac:dyDescent="0.25">
      <c r="A38" s="2">
        <v>36</v>
      </c>
      <c r="B38" s="2" t="s">
        <v>22802</v>
      </c>
      <c r="C38" s="2"/>
      <c r="D38" s="2" t="s">
        <v>5733</v>
      </c>
      <c r="E38" s="2" t="s">
        <v>22803</v>
      </c>
      <c r="F38" s="2" t="s">
        <v>22722</v>
      </c>
      <c r="G38" s="2" t="s">
        <v>21513</v>
      </c>
      <c r="H38" s="2" t="s">
        <v>22804</v>
      </c>
      <c r="I38" s="2">
        <v>1</v>
      </c>
      <c r="J38" s="2" t="s">
        <v>22805</v>
      </c>
      <c r="K38" s="2"/>
      <c r="L38" s="2" t="s">
        <v>22611</v>
      </c>
      <c r="M38" s="2" t="s">
        <v>9</v>
      </c>
      <c r="N38" s="2" t="s">
        <v>22806</v>
      </c>
      <c r="O38" s="2"/>
      <c r="P38" s="2"/>
    </row>
    <row r="39" spans="1:16" ht="13.2" customHeight="1" x14ac:dyDescent="0.25">
      <c r="A39" s="2">
        <v>37</v>
      </c>
      <c r="B39" s="2" t="s">
        <v>22807</v>
      </c>
      <c r="C39" s="2"/>
      <c r="D39" s="2" t="s">
        <v>22808</v>
      </c>
      <c r="E39" s="2" t="s">
        <v>22809</v>
      </c>
      <c r="F39" s="2" t="s">
        <v>22810</v>
      </c>
      <c r="G39" s="2" t="s">
        <v>22811</v>
      </c>
      <c r="H39" s="2" t="s">
        <v>22812</v>
      </c>
      <c r="I39" s="2">
        <v>1</v>
      </c>
      <c r="J39" s="2" t="s">
        <v>22813</v>
      </c>
      <c r="K39" s="2"/>
      <c r="L39" s="2" t="s">
        <v>22611</v>
      </c>
      <c r="M39" s="2" t="s">
        <v>9</v>
      </c>
      <c r="N39" s="2" t="s">
        <v>22814</v>
      </c>
      <c r="O39" s="2"/>
      <c r="P39" s="2"/>
    </row>
    <row r="40" spans="1:16" ht="13.2" customHeight="1" x14ac:dyDescent="0.25">
      <c r="A40" s="2">
        <v>38</v>
      </c>
      <c r="B40" s="2" t="s">
        <v>22815</v>
      </c>
      <c r="C40" s="2"/>
      <c r="D40" s="2" t="s">
        <v>614</v>
      </c>
      <c r="E40" s="2" t="s">
        <v>615</v>
      </c>
      <c r="F40" s="2" t="s">
        <v>616</v>
      </c>
      <c r="G40" s="2" t="s">
        <v>345</v>
      </c>
      <c r="H40" s="2" t="s">
        <v>617</v>
      </c>
      <c r="I40" s="2">
        <v>1</v>
      </c>
      <c r="J40" s="2" t="s">
        <v>22816</v>
      </c>
      <c r="K40" s="2"/>
      <c r="L40" s="2" t="s">
        <v>22611</v>
      </c>
      <c r="M40" s="2" t="s">
        <v>9</v>
      </c>
      <c r="N40" s="2" t="s">
        <v>22817</v>
      </c>
      <c r="O40" s="2"/>
      <c r="P40" s="2"/>
    </row>
    <row r="41" spans="1:16" ht="13.2" customHeight="1" x14ac:dyDescent="0.25">
      <c r="A41" s="2">
        <v>39</v>
      </c>
      <c r="B41" s="2" t="s">
        <v>22818</v>
      </c>
      <c r="C41" s="2"/>
      <c r="D41" s="2" t="s">
        <v>22819</v>
      </c>
      <c r="E41" s="2" t="s">
        <v>22820</v>
      </c>
      <c r="F41" s="2" t="s">
        <v>705</v>
      </c>
      <c r="G41" s="2" t="s">
        <v>22821</v>
      </c>
      <c r="H41" s="2" t="s">
        <v>703</v>
      </c>
      <c r="I41" s="2">
        <v>1</v>
      </c>
      <c r="J41" s="2" t="s">
        <v>22822</v>
      </c>
      <c r="K41" s="2"/>
      <c r="L41" s="2" t="s">
        <v>22611</v>
      </c>
      <c r="M41" s="2" t="s">
        <v>9</v>
      </c>
      <c r="N41" s="2" t="s">
        <v>22823</v>
      </c>
      <c r="O41" s="2"/>
      <c r="P41" s="2"/>
    </row>
    <row r="42" spans="1:16" ht="13.2" customHeight="1" x14ac:dyDescent="0.25">
      <c r="A42" s="2">
        <v>40</v>
      </c>
      <c r="B42" s="2" t="s">
        <v>22824</v>
      </c>
      <c r="C42" s="2"/>
      <c r="D42" s="2" t="s">
        <v>703</v>
      </c>
      <c r="E42" s="2" t="s">
        <v>17737</v>
      </c>
      <c r="F42" s="2" t="s">
        <v>705</v>
      </c>
      <c r="G42" s="2" t="s">
        <v>19962</v>
      </c>
      <c r="H42" s="2" t="s">
        <v>22637</v>
      </c>
      <c r="I42" s="2">
        <v>1</v>
      </c>
      <c r="J42" s="2" t="s">
        <v>22825</v>
      </c>
      <c r="K42" s="2"/>
      <c r="L42" s="2" t="s">
        <v>22611</v>
      </c>
      <c r="M42" s="2" t="s">
        <v>9</v>
      </c>
      <c r="N42" s="2" t="s">
        <v>22826</v>
      </c>
      <c r="O42" s="2"/>
      <c r="P42" s="2"/>
    </row>
    <row r="43" spans="1:16" ht="13.2" customHeight="1" x14ac:dyDescent="0.25">
      <c r="A43" s="2">
        <v>41</v>
      </c>
      <c r="B43" s="2" t="s">
        <v>22827</v>
      </c>
      <c r="C43" s="2"/>
      <c r="D43" s="2" t="s">
        <v>22828</v>
      </c>
      <c r="E43" s="2" t="s">
        <v>2945</v>
      </c>
      <c r="F43" s="2" t="s">
        <v>10993</v>
      </c>
      <c r="G43" s="2" t="s">
        <v>614</v>
      </c>
      <c r="H43" s="2" t="s">
        <v>22829</v>
      </c>
      <c r="I43" s="2">
        <v>1</v>
      </c>
      <c r="J43" s="2" t="s">
        <v>22830</v>
      </c>
      <c r="K43" s="2"/>
      <c r="L43" s="2" t="s">
        <v>22611</v>
      </c>
      <c r="M43" s="2" t="s">
        <v>9</v>
      </c>
      <c r="N43" s="2" t="s">
        <v>22831</v>
      </c>
      <c r="O43" s="2"/>
      <c r="P43" s="2"/>
    </row>
    <row r="44" spans="1:16" ht="13.2" customHeight="1" x14ac:dyDescent="0.25">
      <c r="A44" s="2">
        <v>42</v>
      </c>
      <c r="B44" s="2" t="s">
        <v>22832</v>
      </c>
      <c r="C44" s="2"/>
      <c r="D44" s="2" t="s">
        <v>5430</v>
      </c>
      <c r="E44" s="2" t="s">
        <v>22833</v>
      </c>
      <c r="F44" s="2" t="s">
        <v>22834</v>
      </c>
      <c r="G44" s="2" t="s">
        <v>5732</v>
      </c>
      <c r="H44" s="2" t="s">
        <v>3108</v>
      </c>
      <c r="I44" s="2">
        <v>1</v>
      </c>
      <c r="J44" s="2" t="s">
        <v>22835</v>
      </c>
      <c r="K44" s="2"/>
      <c r="L44" s="2" t="s">
        <v>22611</v>
      </c>
      <c r="M44" s="2" t="s">
        <v>9</v>
      </c>
      <c r="N44" s="2" t="s">
        <v>22836</v>
      </c>
      <c r="O44" s="2"/>
      <c r="P44" s="2"/>
    </row>
    <row r="45" spans="1:16" ht="13.2" customHeight="1" x14ac:dyDescent="0.25">
      <c r="A45" s="2">
        <v>43</v>
      </c>
      <c r="B45" s="2" t="s">
        <v>22837</v>
      </c>
      <c r="C45" s="2"/>
      <c r="D45" s="2" t="s">
        <v>22838</v>
      </c>
      <c r="E45" s="2" t="s">
        <v>22839</v>
      </c>
      <c r="F45" s="2" t="s">
        <v>22840</v>
      </c>
      <c r="G45" s="2" t="s">
        <v>22841</v>
      </c>
      <c r="H45" s="2" t="s">
        <v>22842</v>
      </c>
      <c r="I45" s="2">
        <v>1</v>
      </c>
      <c r="J45" s="2" t="s">
        <v>22843</v>
      </c>
      <c r="K45" s="2"/>
      <c r="L45" s="2" t="s">
        <v>22611</v>
      </c>
      <c r="M45" s="2" t="s">
        <v>9</v>
      </c>
      <c r="N45" s="2" t="s">
        <v>22844</v>
      </c>
      <c r="O45" s="2"/>
      <c r="P45" s="2"/>
    </row>
    <row r="46" spans="1:16" ht="13.2" customHeight="1" x14ac:dyDescent="0.25">
      <c r="A46" s="2">
        <v>44</v>
      </c>
      <c r="B46" s="2" t="s">
        <v>22845</v>
      </c>
      <c r="C46" s="2"/>
      <c r="D46" s="2" t="s">
        <v>347</v>
      </c>
      <c r="E46" s="2" t="s">
        <v>5733</v>
      </c>
      <c r="F46" s="2" t="s">
        <v>3107</v>
      </c>
      <c r="G46" s="2" t="s">
        <v>705</v>
      </c>
      <c r="H46" s="2" t="s">
        <v>2950</v>
      </c>
      <c r="I46" s="2">
        <v>1</v>
      </c>
      <c r="J46" s="2" t="s">
        <v>22846</v>
      </c>
      <c r="K46" s="2"/>
      <c r="L46" s="2" t="s">
        <v>22611</v>
      </c>
      <c r="M46" s="2" t="s">
        <v>9</v>
      </c>
      <c r="N46" s="2" t="s">
        <v>22847</v>
      </c>
      <c r="O46" s="2"/>
      <c r="P46" s="2"/>
    </row>
    <row r="47" spans="1:16" ht="13.2" customHeight="1" x14ac:dyDescent="0.25">
      <c r="A47" s="2">
        <v>45</v>
      </c>
      <c r="B47" s="2" t="s">
        <v>22848</v>
      </c>
      <c r="C47" s="2"/>
      <c r="D47" s="2" t="s">
        <v>22667</v>
      </c>
      <c r="E47" s="2" t="s">
        <v>22668</v>
      </c>
      <c r="F47" s="2" t="s">
        <v>22669</v>
      </c>
      <c r="G47" s="2" t="s">
        <v>22670</v>
      </c>
      <c r="H47" s="2" t="s">
        <v>22674</v>
      </c>
      <c r="I47" s="2">
        <v>1</v>
      </c>
      <c r="J47" s="2" t="s">
        <v>22849</v>
      </c>
      <c r="K47" s="2"/>
      <c r="L47" s="2" t="s">
        <v>22611</v>
      </c>
      <c r="M47" s="2" t="s">
        <v>9</v>
      </c>
      <c r="N47" s="2" t="s">
        <v>22850</v>
      </c>
      <c r="O47" s="2"/>
      <c r="P47" s="2"/>
    </row>
    <row r="48" spans="1:16" ht="13.2" customHeight="1" x14ac:dyDescent="0.25">
      <c r="A48" s="2">
        <v>46</v>
      </c>
      <c r="B48" s="2" t="s">
        <v>22851</v>
      </c>
      <c r="C48" s="2"/>
      <c r="D48" s="2" t="s">
        <v>22670</v>
      </c>
      <c r="E48" s="2" t="s">
        <v>22674</v>
      </c>
      <c r="F48" s="2" t="s">
        <v>22675</v>
      </c>
      <c r="G48" s="2" t="s">
        <v>22676</v>
      </c>
      <c r="H48" s="2" t="s">
        <v>22680</v>
      </c>
      <c r="I48" s="2">
        <v>1</v>
      </c>
      <c r="J48" s="2" t="s">
        <v>22852</v>
      </c>
      <c r="K48" s="2"/>
      <c r="L48" s="2" t="s">
        <v>22611</v>
      </c>
      <c r="M48" s="2" t="s">
        <v>9</v>
      </c>
      <c r="N48" s="2" t="s">
        <v>22853</v>
      </c>
      <c r="O48" s="2"/>
      <c r="P48" s="2"/>
    </row>
    <row r="49" spans="1:16" ht="13.2" customHeight="1" x14ac:dyDescent="0.25">
      <c r="A49" s="2">
        <v>47</v>
      </c>
      <c r="B49" s="2" t="s">
        <v>22854</v>
      </c>
      <c r="C49" s="2"/>
      <c r="D49" s="2" t="s">
        <v>22676</v>
      </c>
      <c r="E49" s="2" t="s">
        <v>22680</v>
      </c>
      <c r="F49" s="2" t="s">
        <v>22667</v>
      </c>
      <c r="G49" s="2" t="s">
        <v>22668</v>
      </c>
      <c r="H49" s="2" t="s">
        <v>22669</v>
      </c>
      <c r="I49" s="2">
        <v>1</v>
      </c>
      <c r="J49" s="2" t="s">
        <v>22855</v>
      </c>
      <c r="K49" s="2"/>
      <c r="L49" s="2" t="s">
        <v>22611</v>
      </c>
      <c r="M49" s="2" t="s">
        <v>9</v>
      </c>
      <c r="N49" s="2" t="s">
        <v>21604</v>
      </c>
      <c r="O49" s="2"/>
      <c r="P49" s="2"/>
    </row>
    <row r="50" spans="1:16" ht="13.2" customHeight="1" x14ac:dyDescent="0.25">
      <c r="A50" s="2">
        <v>48</v>
      </c>
      <c r="B50" s="2" t="s">
        <v>22856</v>
      </c>
      <c r="C50" s="2"/>
      <c r="D50" s="2" t="s">
        <v>22668</v>
      </c>
      <c r="E50" s="2" t="s">
        <v>22669</v>
      </c>
      <c r="F50" s="2" t="s">
        <v>22670</v>
      </c>
      <c r="G50" s="2" t="s">
        <v>22674</v>
      </c>
      <c r="H50" s="2" t="s">
        <v>22675</v>
      </c>
      <c r="I50" s="2">
        <v>1</v>
      </c>
      <c r="J50" s="2" t="s">
        <v>22857</v>
      </c>
      <c r="K50" s="2"/>
      <c r="L50" s="2" t="s">
        <v>22611</v>
      </c>
      <c r="M50" s="2" t="s">
        <v>9</v>
      </c>
      <c r="N50" s="2" t="s">
        <v>22858</v>
      </c>
      <c r="O50" s="2"/>
      <c r="P50" s="2"/>
    </row>
    <row r="51" spans="1:16" ht="13.2" customHeight="1" x14ac:dyDescent="0.25">
      <c r="A51" s="2">
        <v>49</v>
      </c>
      <c r="B51" s="2" t="s">
        <v>22859</v>
      </c>
      <c r="C51" s="2"/>
      <c r="D51" s="2" t="s">
        <v>22674</v>
      </c>
      <c r="E51" s="2" t="s">
        <v>22675</v>
      </c>
      <c r="F51" s="2" t="s">
        <v>22676</v>
      </c>
      <c r="G51" s="2" t="s">
        <v>22680</v>
      </c>
      <c r="H51" s="2" t="s">
        <v>22667</v>
      </c>
      <c r="I51" s="2">
        <v>1</v>
      </c>
      <c r="J51" s="2" t="s">
        <v>22860</v>
      </c>
      <c r="K51" s="2"/>
      <c r="L51" s="2" t="s">
        <v>22611</v>
      </c>
      <c r="M51" s="2" t="s">
        <v>9</v>
      </c>
      <c r="N51" s="2" t="s">
        <v>22861</v>
      </c>
      <c r="O51" s="2"/>
      <c r="P51" s="2"/>
    </row>
    <row r="52" spans="1:16" ht="13.2" customHeight="1" x14ac:dyDescent="0.25">
      <c r="A52" s="2">
        <v>50</v>
      </c>
      <c r="B52" s="2" t="s">
        <v>22862</v>
      </c>
      <c r="C52" s="2"/>
      <c r="D52" s="2" t="s">
        <v>22680</v>
      </c>
      <c r="E52" s="2" t="s">
        <v>22667</v>
      </c>
      <c r="F52" s="2" t="s">
        <v>22668</v>
      </c>
      <c r="G52" s="2" t="s">
        <v>22669</v>
      </c>
      <c r="H52" s="2" t="s">
        <v>22670</v>
      </c>
      <c r="I52" s="2">
        <v>1</v>
      </c>
      <c r="J52" s="2" t="s">
        <v>22863</v>
      </c>
      <c r="K52" s="2"/>
      <c r="L52" s="2" t="s">
        <v>22611</v>
      </c>
      <c r="M52" s="2" t="s">
        <v>9</v>
      </c>
      <c r="N52" s="2" t="s">
        <v>4983</v>
      </c>
      <c r="O52" s="2"/>
      <c r="P52" s="2"/>
    </row>
    <row r="53" spans="1:16" ht="13.2" customHeight="1" x14ac:dyDescent="0.25">
      <c r="A53" s="2">
        <v>51</v>
      </c>
      <c r="B53" s="2" t="s">
        <v>22864</v>
      </c>
      <c r="C53" s="2"/>
      <c r="D53" s="2" t="s">
        <v>2942</v>
      </c>
      <c r="E53" s="2" t="s">
        <v>22865</v>
      </c>
      <c r="F53" s="2" t="s">
        <v>614</v>
      </c>
      <c r="G53" s="2" t="s">
        <v>22866</v>
      </c>
      <c r="H53" s="2" t="s">
        <v>22676</v>
      </c>
      <c r="I53" s="2">
        <v>4</v>
      </c>
      <c r="J53" s="2" t="s">
        <v>22867</v>
      </c>
      <c r="K53" s="2"/>
      <c r="L53" s="2" t="s">
        <v>22611</v>
      </c>
      <c r="M53" s="2" t="s">
        <v>9</v>
      </c>
      <c r="N53" s="2" t="s">
        <v>3621</v>
      </c>
      <c r="O53" s="2"/>
      <c r="P53" s="2"/>
    </row>
    <row r="54" spans="1:16" ht="13.2" customHeight="1" x14ac:dyDescent="0.25">
      <c r="A54" s="2">
        <v>52</v>
      </c>
      <c r="B54" s="2" t="s">
        <v>22868</v>
      </c>
      <c r="C54" s="2"/>
      <c r="D54" s="2" t="s">
        <v>22869</v>
      </c>
      <c r="E54" s="2" t="s">
        <v>614</v>
      </c>
      <c r="F54" s="2" t="s">
        <v>22680</v>
      </c>
      <c r="G54" s="2" t="s">
        <v>22667</v>
      </c>
      <c r="H54" s="2" t="s">
        <v>22668</v>
      </c>
      <c r="I54" s="2">
        <v>1</v>
      </c>
      <c r="J54" s="2" t="s">
        <v>22870</v>
      </c>
      <c r="K54" s="2"/>
      <c r="L54" s="2" t="s">
        <v>22611</v>
      </c>
      <c r="M54" s="2" t="s">
        <v>9</v>
      </c>
      <c r="N54" s="2" t="s">
        <v>13780</v>
      </c>
      <c r="O54" s="2"/>
      <c r="P54" s="2"/>
    </row>
    <row r="55" spans="1:16" ht="13.2" customHeight="1" x14ac:dyDescent="0.25">
      <c r="A55" s="2">
        <v>53</v>
      </c>
      <c r="B55" s="2" t="s">
        <v>22871</v>
      </c>
      <c r="C55" s="2"/>
      <c r="D55" s="2" t="s">
        <v>22667</v>
      </c>
      <c r="E55" s="2" t="s">
        <v>22668</v>
      </c>
      <c r="F55" s="2" t="s">
        <v>22669</v>
      </c>
      <c r="G55" s="2" t="s">
        <v>22670</v>
      </c>
      <c r="H55" s="2" t="s">
        <v>22674</v>
      </c>
      <c r="I55" s="2">
        <v>2</v>
      </c>
      <c r="J55" s="2" t="s">
        <v>22872</v>
      </c>
      <c r="K55" s="2"/>
      <c r="L55" s="2" t="s">
        <v>22611</v>
      </c>
      <c r="M55" s="2" t="s">
        <v>9</v>
      </c>
      <c r="N55" s="2" t="s">
        <v>3699</v>
      </c>
      <c r="O55" s="2"/>
      <c r="P55" s="2"/>
    </row>
    <row r="56" spans="1:16" ht="13.2" customHeight="1" x14ac:dyDescent="0.25">
      <c r="A56" s="2">
        <v>54</v>
      </c>
      <c r="B56" s="2" t="s">
        <v>22873</v>
      </c>
      <c r="C56" s="2"/>
      <c r="D56" s="2" t="s">
        <v>22670</v>
      </c>
      <c r="E56" s="2" t="s">
        <v>22674</v>
      </c>
      <c r="F56" s="2" t="s">
        <v>22675</v>
      </c>
      <c r="G56" s="2" t="s">
        <v>22676</v>
      </c>
      <c r="H56" s="2" t="s">
        <v>22680</v>
      </c>
      <c r="I56" s="2">
        <v>1</v>
      </c>
      <c r="J56" s="2" t="s">
        <v>22852</v>
      </c>
      <c r="K56" s="2"/>
      <c r="L56" s="2" t="s">
        <v>22611</v>
      </c>
      <c r="M56" s="2" t="s">
        <v>9</v>
      </c>
      <c r="N56" s="2" t="s">
        <v>13780</v>
      </c>
      <c r="O56" s="2"/>
      <c r="P56" s="2"/>
    </row>
    <row r="57" spans="1:16" ht="13.2" customHeight="1" x14ac:dyDescent="0.25">
      <c r="A57" s="2">
        <v>55</v>
      </c>
      <c r="B57" s="2" t="s">
        <v>22874</v>
      </c>
      <c r="C57" s="2"/>
      <c r="D57" s="2" t="s">
        <v>22676</v>
      </c>
      <c r="E57" s="2" t="s">
        <v>22680</v>
      </c>
      <c r="F57" s="2" t="s">
        <v>22667</v>
      </c>
      <c r="G57" s="2" t="s">
        <v>22668</v>
      </c>
      <c r="H57" s="2" t="s">
        <v>22669</v>
      </c>
      <c r="I57" s="2">
        <v>1</v>
      </c>
      <c r="J57" s="2" t="s">
        <v>22855</v>
      </c>
      <c r="K57" s="2"/>
      <c r="L57" s="2" t="s">
        <v>22611</v>
      </c>
      <c r="M57" s="2" t="s">
        <v>9</v>
      </c>
      <c r="N57" s="2" t="s">
        <v>3699</v>
      </c>
      <c r="O57" s="2"/>
      <c r="P57" s="2"/>
    </row>
    <row r="58" spans="1:16" ht="13.2" customHeight="1" x14ac:dyDescent="0.25">
      <c r="A58" s="2">
        <v>56</v>
      </c>
      <c r="B58" s="2" t="s">
        <v>22875</v>
      </c>
      <c r="C58" s="2"/>
      <c r="D58" s="2" t="s">
        <v>22668</v>
      </c>
      <c r="E58" s="2" t="s">
        <v>22669</v>
      </c>
      <c r="F58" s="2" t="s">
        <v>22670</v>
      </c>
      <c r="G58" s="2" t="s">
        <v>22674</v>
      </c>
      <c r="H58" s="2" t="s">
        <v>22675</v>
      </c>
      <c r="I58" s="2">
        <v>1</v>
      </c>
      <c r="J58" s="2" t="s">
        <v>22857</v>
      </c>
      <c r="K58" s="2"/>
      <c r="L58" s="2" t="s">
        <v>22611</v>
      </c>
      <c r="M58" s="2" t="s">
        <v>9</v>
      </c>
      <c r="N58" s="2" t="s">
        <v>9897</v>
      </c>
      <c r="O58" s="2"/>
      <c r="P58" s="2"/>
    </row>
    <row r="59" spans="1:16" ht="13.2" customHeight="1" x14ac:dyDescent="0.25">
      <c r="A59" s="2">
        <v>57</v>
      </c>
      <c r="B59" s="2" t="s">
        <v>22876</v>
      </c>
      <c r="C59" s="2"/>
      <c r="D59" s="2" t="s">
        <v>614</v>
      </c>
      <c r="E59" s="2" t="s">
        <v>3108</v>
      </c>
      <c r="F59" s="2" t="s">
        <v>346</v>
      </c>
      <c r="G59" s="2" t="s">
        <v>8197</v>
      </c>
      <c r="H59" s="2" t="s">
        <v>2903</v>
      </c>
      <c r="I59" s="2">
        <v>1</v>
      </c>
      <c r="J59" s="2" t="s">
        <v>22877</v>
      </c>
      <c r="K59" s="2"/>
      <c r="L59" s="2" t="s">
        <v>22611</v>
      </c>
      <c r="M59" s="2" t="s">
        <v>9</v>
      </c>
      <c r="N59" s="2" t="s">
        <v>16896</v>
      </c>
      <c r="O59" s="2"/>
      <c r="P59" s="2"/>
    </row>
    <row r="60" spans="1:16" ht="13.2" customHeight="1" x14ac:dyDescent="0.25">
      <c r="A60" s="2">
        <v>58</v>
      </c>
      <c r="B60" s="2" t="s">
        <v>22878</v>
      </c>
      <c r="C60" s="2"/>
      <c r="D60" s="2" t="s">
        <v>22879</v>
      </c>
      <c r="E60" s="2" t="s">
        <v>22880</v>
      </c>
      <c r="F60" s="2" t="s">
        <v>22881</v>
      </c>
      <c r="G60" s="2" t="s">
        <v>22882</v>
      </c>
      <c r="H60" s="2" t="s">
        <v>22883</v>
      </c>
      <c r="I60" s="2">
        <v>1</v>
      </c>
      <c r="J60" s="2" t="s">
        <v>22884</v>
      </c>
      <c r="K60" s="2"/>
      <c r="L60" s="2" t="s">
        <v>22611</v>
      </c>
      <c r="M60" s="2" t="s">
        <v>9</v>
      </c>
      <c r="N60" s="2" t="s">
        <v>3811</v>
      </c>
      <c r="O60" s="2"/>
      <c r="P60" s="2"/>
    </row>
    <row r="61" spans="1:16" ht="13.2" customHeight="1" x14ac:dyDescent="0.25">
      <c r="A61" s="2">
        <v>59</v>
      </c>
      <c r="B61" s="2" t="s">
        <v>22885</v>
      </c>
      <c r="C61" s="2"/>
      <c r="D61" s="2" t="s">
        <v>22886</v>
      </c>
      <c r="E61" s="2" t="s">
        <v>614</v>
      </c>
      <c r="F61" s="2" t="s">
        <v>3108</v>
      </c>
      <c r="G61" s="2" t="s">
        <v>2943</v>
      </c>
      <c r="H61" s="2" t="s">
        <v>10993</v>
      </c>
      <c r="I61" s="2">
        <v>1</v>
      </c>
      <c r="J61" s="2" t="s">
        <v>22887</v>
      </c>
      <c r="K61" s="2"/>
      <c r="L61" s="2" t="s">
        <v>22611</v>
      </c>
      <c r="M61" s="2" t="s">
        <v>9</v>
      </c>
      <c r="N61" s="2" t="s">
        <v>2537</v>
      </c>
      <c r="O61" s="2"/>
      <c r="P61" s="2"/>
    </row>
    <row r="62" spans="1:16" ht="13.2" customHeight="1" x14ac:dyDescent="0.25">
      <c r="A62" s="2">
        <v>60</v>
      </c>
      <c r="B62" s="2" t="s">
        <v>22888</v>
      </c>
      <c r="C62" s="2"/>
      <c r="D62" s="2" t="s">
        <v>22889</v>
      </c>
      <c r="E62" s="2" t="s">
        <v>19948</v>
      </c>
      <c r="F62" s="2" t="s">
        <v>22869</v>
      </c>
      <c r="G62" s="2" t="s">
        <v>10993</v>
      </c>
      <c r="H62" s="2" t="s">
        <v>22890</v>
      </c>
      <c r="I62" s="2">
        <v>1</v>
      </c>
      <c r="J62" s="2" t="s">
        <v>22891</v>
      </c>
      <c r="K62" s="2"/>
      <c r="L62" s="2" t="s">
        <v>22611</v>
      </c>
      <c r="M62" s="2" t="s">
        <v>9</v>
      </c>
      <c r="N62" s="2" t="s">
        <v>3733</v>
      </c>
      <c r="O62" s="2"/>
      <c r="P62" s="2"/>
    </row>
    <row r="63" spans="1:16" ht="13.2" customHeight="1" x14ac:dyDescent="0.25">
      <c r="A63" s="2">
        <v>61</v>
      </c>
      <c r="B63" s="2" t="s">
        <v>22892</v>
      </c>
      <c r="C63" s="2"/>
      <c r="D63" s="2" t="s">
        <v>22893</v>
      </c>
      <c r="E63" s="2" t="s">
        <v>22894</v>
      </c>
      <c r="F63" s="2" t="s">
        <v>22895</v>
      </c>
      <c r="G63" s="2" t="s">
        <v>22896</v>
      </c>
      <c r="H63" s="2" t="s">
        <v>10993</v>
      </c>
      <c r="I63" s="2">
        <v>1</v>
      </c>
      <c r="J63" s="2" t="s">
        <v>22897</v>
      </c>
      <c r="K63" s="2"/>
      <c r="L63" s="2" t="s">
        <v>22611</v>
      </c>
      <c r="M63" s="2" t="s">
        <v>9</v>
      </c>
      <c r="N63" s="2" t="s">
        <v>2540</v>
      </c>
      <c r="O63" s="2"/>
      <c r="P63" s="2"/>
    </row>
    <row r="64" spans="1:16" ht="13.2" customHeight="1" x14ac:dyDescent="0.25">
      <c r="A64" s="2">
        <v>62</v>
      </c>
      <c r="B64" s="2" t="s">
        <v>22898</v>
      </c>
      <c r="C64" s="2"/>
      <c r="D64" s="2" t="s">
        <v>12747</v>
      </c>
      <c r="E64" s="2" t="s">
        <v>22899</v>
      </c>
      <c r="F64" s="2" t="s">
        <v>22900</v>
      </c>
      <c r="G64" s="2" t="s">
        <v>22730</v>
      </c>
      <c r="H64" s="2" t="s">
        <v>22731</v>
      </c>
      <c r="I64" s="2">
        <v>1</v>
      </c>
      <c r="J64" s="2" t="s">
        <v>22901</v>
      </c>
      <c r="K64" s="2"/>
      <c r="L64" s="2" t="s">
        <v>22611</v>
      </c>
      <c r="M64" s="2" t="s">
        <v>9</v>
      </c>
      <c r="N64" s="2" t="s">
        <v>7496</v>
      </c>
      <c r="O64" s="2"/>
      <c r="P64" s="2"/>
    </row>
    <row r="65" spans="1:16" ht="13.2" customHeight="1" x14ac:dyDescent="0.25">
      <c r="A65" s="2">
        <v>63</v>
      </c>
      <c r="B65" s="2" t="s">
        <v>22902</v>
      </c>
      <c r="C65" s="2"/>
      <c r="D65" s="2" t="s">
        <v>22903</v>
      </c>
      <c r="E65" s="2" t="s">
        <v>22890</v>
      </c>
      <c r="F65" s="2" t="s">
        <v>22899</v>
      </c>
      <c r="G65" s="2" t="s">
        <v>10990</v>
      </c>
      <c r="H65" s="2" t="s">
        <v>22904</v>
      </c>
      <c r="I65" s="2">
        <v>1</v>
      </c>
      <c r="J65" s="2" t="s">
        <v>22905</v>
      </c>
      <c r="K65" s="2"/>
      <c r="L65" s="2" t="s">
        <v>22611</v>
      </c>
      <c r="M65" s="2" t="s">
        <v>9</v>
      </c>
      <c r="N65" s="2" t="s">
        <v>5202</v>
      </c>
      <c r="O65" s="2"/>
      <c r="P65" s="2"/>
    </row>
    <row r="66" spans="1:16" ht="13.2" customHeight="1" x14ac:dyDescent="0.25">
      <c r="A66" s="2">
        <v>64</v>
      </c>
      <c r="B66" s="2" t="s">
        <v>22906</v>
      </c>
      <c r="C66" s="2"/>
      <c r="D66" s="2" t="s">
        <v>2949</v>
      </c>
      <c r="E66" s="2" t="s">
        <v>2943</v>
      </c>
      <c r="F66" s="2" t="s">
        <v>22907</v>
      </c>
      <c r="G66" s="2" t="s">
        <v>10989</v>
      </c>
      <c r="H66" s="2" t="s">
        <v>10993</v>
      </c>
      <c r="I66" s="2">
        <v>1</v>
      </c>
      <c r="J66" s="2" t="s">
        <v>22908</v>
      </c>
      <c r="K66" s="2"/>
      <c r="L66" s="2" t="s">
        <v>22611</v>
      </c>
      <c r="M66" s="2" t="s">
        <v>9</v>
      </c>
      <c r="N66" s="2" t="s">
        <v>10487</v>
      </c>
      <c r="O66" s="2"/>
      <c r="P66" s="2"/>
    </row>
    <row r="67" spans="1:16" ht="13.2" customHeight="1" x14ac:dyDescent="0.25">
      <c r="A67" s="2">
        <v>65</v>
      </c>
      <c r="B67" s="2" t="s">
        <v>22909</v>
      </c>
      <c r="C67" s="2"/>
      <c r="D67" s="2" t="s">
        <v>22910</v>
      </c>
      <c r="E67" s="2" t="s">
        <v>21512</v>
      </c>
      <c r="F67" s="2" t="s">
        <v>22911</v>
      </c>
      <c r="G67" s="2" t="s">
        <v>22912</v>
      </c>
      <c r="H67" s="2" t="s">
        <v>21513</v>
      </c>
      <c r="I67" s="2">
        <v>1</v>
      </c>
      <c r="J67" s="2" t="s">
        <v>22913</v>
      </c>
      <c r="K67" s="2"/>
      <c r="L67" s="2" t="s">
        <v>22611</v>
      </c>
      <c r="M67" s="2" t="s">
        <v>9</v>
      </c>
      <c r="N67" s="2" t="s">
        <v>3864</v>
      </c>
      <c r="O67" s="2"/>
      <c r="P67" s="2"/>
    </row>
    <row r="68" spans="1:16" ht="13.2" customHeight="1" x14ac:dyDescent="0.25">
      <c r="A68" s="2">
        <v>66</v>
      </c>
      <c r="B68" s="2" t="s">
        <v>22914</v>
      </c>
      <c r="C68" s="2"/>
      <c r="D68" s="2" t="s">
        <v>10989</v>
      </c>
      <c r="E68" s="2" t="s">
        <v>22915</v>
      </c>
      <c r="F68" s="2" t="s">
        <v>5732</v>
      </c>
      <c r="G68" s="2" t="s">
        <v>22916</v>
      </c>
      <c r="H68" s="2" t="s">
        <v>346</v>
      </c>
      <c r="I68" s="2">
        <v>1</v>
      </c>
      <c r="J68" s="2" t="s">
        <v>22917</v>
      </c>
      <c r="K68" s="2"/>
      <c r="L68" s="2" t="s">
        <v>22611</v>
      </c>
      <c r="M68" s="2" t="s">
        <v>9</v>
      </c>
      <c r="N68" s="2" t="s">
        <v>13786</v>
      </c>
      <c r="O68" s="2"/>
      <c r="P68" s="2"/>
    </row>
    <row r="69" spans="1:16" ht="13.2" customHeight="1" x14ac:dyDescent="0.25">
      <c r="A69" s="2">
        <v>67</v>
      </c>
      <c r="B69" s="2" t="s">
        <v>22918</v>
      </c>
      <c r="C69" s="2"/>
      <c r="D69" s="2" t="s">
        <v>22919</v>
      </c>
      <c r="E69" s="2" t="s">
        <v>3106</v>
      </c>
      <c r="F69" s="2" t="s">
        <v>10989</v>
      </c>
      <c r="G69" s="2" t="s">
        <v>22890</v>
      </c>
      <c r="H69" s="2" t="s">
        <v>22904</v>
      </c>
      <c r="I69" s="2">
        <v>1</v>
      </c>
      <c r="J69" s="2" t="s">
        <v>22920</v>
      </c>
      <c r="K69" s="2"/>
      <c r="L69" s="2" t="s">
        <v>22611</v>
      </c>
      <c r="M69" s="2" t="s">
        <v>9</v>
      </c>
      <c r="N69" s="2" t="s">
        <v>10530</v>
      </c>
      <c r="O69" s="2"/>
      <c r="P69" s="2"/>
    </row>
    <row r="70" spans="1:16" ht="13.2" customHeight="1" x14ac:dyDescent="0.25">
      <c r="A70" s="2">
        <v>68</v>
      </c>
      <c r="B70" s="2" t="s">
        <v>22921</v>
      </c>
      <c r="C70" s="2"/>
      <c r="D70" s="2" t="s">
        <v>22922</v>
      </c>
      <c r="E70" s="2" t="s">
        <v>22923</v>
      </c>
      <c r="F70" s="2" t="s">
        <v>22924</v>
      </c>
      <c r="G70" s="2" t="s">
        <v>22925</v>
      </c>
      <c r="H70" s="2" t="s">
        <v>22926</v>
      </c>
      <c r="I70" s="2">
        <v>1</v>
      </c>
      <c r="J70" s="2" t="s">
        <v>22927</v>
      </c>
      <c r="K70" s="2"/>
      <c r="L70" s="2" t="s">
        <v>22611</v>
      </c>
      <c r="M70" s="2" t="s">
        <v>9</v>
      </c>
      <c r="N70" s="2" t="s">
        <v>1653</v>
      </c>
      <c r="O70" s="2"/>
      <c r="P70" s="2"/>
    </row>
    <row r="71" spans="1:16" ht="13.2" customHeight="1" x14ac:dyDescent="0.25">
      <c r="A71" s="2">
        <v>69</v>
      </c>
      <c r="B71" s="2" t="s">
        <v>22928</v>
      </c>
      <c r="C71" s="2"/>
      <c r="D71" s="2" t="s">
        <v>22667</v>
      </c>
      <c r="E71" s="2" t="s">
        <v>22668</v>
      </c>
      <c r="F71" s="2" t="s">
        <v>22669</v>
      </c>
      <c r="G71" s="2" t="s">
        <v>22670</v>
      </c>
      <c r="H71" s="2" t="s">
        <v>22674</v>
      </c>
      <c r="I71" s="2">
        <v>1</v>
      </c>
      <c r="J71" s="2" t="s">
        <v>22849</v>
      </c>
      <c r="K71" s="2"/>
      <c r="L71" s="2" t="s">
        <v>22611</v>
      </c>
      <c r="M71" s="2" t="s">
        <v>9</v>
      </c>
      <c r="N71" s="2" t="s">
        <v>10589</v>
      </c>
      <c r="O71" s="2"/>
      <c r="P71" s="2"/>
    </row>
    <row r="72" spans="1:16" ht="13.2" customHeight="1" x14ac:dyDescent="0.25">
      <c r="A72" s="2">
        <v>70</v>
      </c>
      <c r="B72" s="2" t="s">
        <v>22929</v>
      </c>
      <c r="C72" s="2"/>
      <c r="D72" s="2" t="s">
        <v>22670</v>
      </c>
      <c r="E72" s="2" t="s">
        <v>22674</v>
      </c>
      <c r="F72" s="2" t="s">
        <v>22675</v>
      </c>
      <c r="G72" s="2" t="s">
        <v>22676</v>
      </c>
      <c r="H72" s="2" t="s">
        <v>22680</v>
      </c>
      <c r="I72" s="2">
        <v>1</v>
      </c>
      <c r="J72" s="2" t="s">
        <v>22852</v>
      </c>
      <c r="K72" s="2"/>
      <c r="L72" s="2" t="s">
        <v>22611</v>
      </c>
      <c r="M72" s="2" t="s">
        <v>9</v>
      </c>
      <c r="N72" s="2" t="s">
        <v>9186</v>
      </c>
      <c r="O72" s="2"/>
      <c r="P72" s="2"/>
    </row>
    <row r="73" spans="1:16" ht="13.2" customHeight="1" x14ac:dyDescent="0.25">
      <c r="A73" s="2">
        <v>71</v>
      </c>
      <c r="B73" s="2" t="s">
        <v>22930</v>
      </c>
      <c r="C73" s="2"/>
      <c r="D73" s="2" t="s">
        <v>22931</v>
      </c>
      <c r="E73" s="2" t="s">
        <v>22680</v>
      </c>
      <c r="F73" s="2" t="s">
        <v>22667</v>
      </c>
      <c r="G73" s="2" t="s">
        <v>22668</v>
      </c>
      <c r="H73" s="2" t="s">
        <v>22669</v>
      </c>
      <c r="I73" s="2">
        <v>1</v>
      </c>
      <c r="J73" s="2" t="s">
        <v>22932</v>
      </c>
      <c r="K73" s="2"/>
      <c r="L73" s="2" t="s">
        <v>22611</v>
      </c>
      <c r="M73" s="2" t="s">
        <v>9</v>
      </c>
      <c r="N73" s="2" t="s">
        <v>1669</v>
      </c>
      <c r="O73" s="2"/>
      <c r="P73" s="2"/>
    </row>
    <row r="74" spans="1:16" ht="13.2" customHeight="1" x14ac:dyDescent="0.25">
      <c r="A74" s="2">
        <v>72</v>
      </c>
      <c r="B74" s="2" t="s">
        <v>22933</v>
      </c>
      <c r="C74" s="2"/>
      <c r="D74" s="2" t="s">
        <v>22668</v>
      </c>
      <c r="E74" s="2" t="s">
        <v>22669</v>
      </c>
      <c r="F74" s="2" t="s">
        <v>22670</v>
      </c>
      <c r="G74" s="2" t="s">
        <v>22674</v>
      </c>
      <c r="H74" s="2" t="s">
        <v>22675</v>
      </c>
      <c r="I74" s="2">
        <v>1</v>
      </c>
      <c r="J74" s="2" t="s">
        <v>22857</v>
      </c>
      <c r="K74" s="2"/>
      <c r="L74" s="2" t="s">
        <v>22611</v>
      </c>
      <c r="M74" s="2" t="s">
        <v>9</v>
      </c>
      <c r="N74" s="2" t="s">
        <v>3963</v>
      </c>
      <c r="O74" s="2"/>
      <c r="P74" s="2"/>
    </row>
    <row r="75" spans="1:16" ht="13.2" customHeight="1" x14ac:dyDescent="0.25">
      <c r="A75" s="2">
        <v>73</v>
      </c>
      <c r="B75" s="2" t="s">
        <v>22934</v>
      </c>
      <c r="C75" s="2"/>
      <c r="D75" s="2" t="s">
        <v>22674</v>
      </c>
      <c r="E75" s="2" t="s">
        <v>22675</v>
      </c>
      <c r="F75" s="2" t="s">
        <v>22676</v>
      </c>
      <c r="G75" s="2" t="s">
        <v>22680</v>
      </c>
      <c r="H75" s="2" t="s">
        <v>22667</v>
      </c>
      <c r="I75" s="2">
        <v>1</v>
      </c>
      <c r="J75" s="2" t="s">
        <v>22860</v>
      </c>
      <c r="K75" s="2"/>
      <c r="L75" s="2" t="s">
        <v>22611</v>
      </c>
      <c r="M75" s="2" t="s">
        <v>9</v>
      </c>
      <c r="N75" s="2" t="s">
        <v>2655</v>
      </c>
      <c r="O75" s="2"/>
      <c r="P75" s="2"/>
    </row>
    <row r="76" spans="1:16" ht="13.2" customHeight="1" x14ac:dyDescent="0.25">
      <c r="A76" s="2">
        <v>74</v>
      </c>
      <c r="B76" s="2" t="s">
        <v>22935</v>
      </c>
      <c r="C76" s="2"/>
      <c r="D76" s="2" t="s">
        <v>22680</v>
      </c>
      <c r="E76" s="2" t="s">
        <v>22667</v>
      </c>
      <c r="F76" s="2" t="s">
        <v>22668</v>
      </c>
      <c r="G76" s="2" t="s">
        <v>22669</v>
      </c>
      <c r="H76" s="2" t="s">
        <v>22670</v>
      </c>
      <c r="I76" s="2">
        <v>1</v>
      </c>
      <c r="J76" s="2" t="s">
        <v>22863</v>
      </c>
      <c r="K76" s="2"/>
      <c r="L76" s="2" t="s">
        <v>22611</v>
      </c>
      <c r="M76" s="2" t="s">
        <v>9</v>
      </c>
      <c r="N76" s="2" t="s">
        <v>2655</v>
      </c>
      <c r="O76" s="2"/>
      <c r="P76" s="2"/>
    </row>
    <row r="77" spans="1:16" ht="13.2" customHeight="1" x14ac:dyDescent="0.25">
      <c r="A77" s="2">
        <v>75</v>
      </c>
      <c r="B77" s="2" t="s">
        <v>22936</v>
      </c>
      <c r="C77" s="2"/>
      <c r="D77" s="2" t="s">
        <v>22669</v>
      </c>
      <c r="E77" s="2" t="s">
        <v>22670</v>
      </c>
      <c r="F77" s="2" t="s">
        <v>22674</v>
      </c>
      <c r="G77" s="2" t="s">
        <v>22675</v>
      </c>
      <c r="H77" s="2" t="s">
        <v>22676</v>
      </c>
      <c r="I77" s="2">
        <v>1</v>
      </c>
      <c r="J77" s="2" t="s">
        <v>22937</v>
      </c>
      <c r="K77" s="2"/>
      <c r="L77" s="2" t="s">
        <v>22611</v>
      </c>
      <c r="M77" s="2" t="s">
        <v>9</v>
      </c>
      <c r="N77" s="2" t="s">
        <v>3887</v>
      </c>
      <c r="O77" s="2"/>
      <c r="P77" s="2"/>
    </row>
    <row r="78" spans="1:16" ht="13.2" customHeight="1" x14ac:dyDescent="0.25">
      <c r="A78" s="2">
        <v>76</v>
      </c>
      <c r="B78" s="2" t="s">
        <v>22938</v>
      </c>
      <c r="C78" s="2"/>
      <c r="D78" s="2" t="s">
        <v>22939</v>
      </c>
      <c r="E78" s="2" t="s">
        <v>22940</v>
      </c>
      <c r="F78" s="2" t="s">
        <v>22941</v>
      </c>
      <c r="G78" s="2" t="s">
        <v>22942</v>
      </c>
      <c r="H78" s="2" t="s">
        <v>22943</v>
      </c>
      <c r="I78" s="2">
        <v>3</v>
      </c>
      <c r="J78" s="2" t="s">
        <v>22944</v>
      </c>
      <c r="K78" s="2"/>
      <c r="L78" s="2" t="s">
        <v>22611</v>
      </c>
      <c r="M78" s="2" t="s">
        <v>9</v>
      </c>
      <c r="N78" s="2" t="s">
        <v>10600</v>
      </c>
      <c r="O78" s="2"/>
      <c r="P78" s="2"/>
    </row>
    <row r="79" spans="1:16" ht="13.2" customHeight="1" x14ac:dyDescent="0.25">
      <c r="A79" s="2">
        <v>77</v>
      </c>
      <c r="B79" s="2" t="s">
        <v>22945</v>
      </c>
      <c r="C79" s="2"/>
      <c r="D79" s="2" t="s">
        <v>22667</v>
      </c>
      <c r="E79" s="2" t="s">
        <v>22668</v>
      </c>
      <c r="F79" s="2" t="s">
        <v>22669</v>
      </c>
      <c r="G79" s="2" t="s">
        <v>22670</v>
      </c>
      <c r="H79" s="2" t="s">
        <v>22674</v>
      </c>
      <c r="I79" s="2">
        <v>2</v>
      </c>
      <c r="J79" s="2" t="s">
        <v>22872</v>
      </c>
      <c r="K79" s="2"/>
      <c r="L79" s="2" t="s">
        <v>22611</v>
      </c>
      <c r="M79" s="2" t="s">
        <v>9</v>
      </c>
      <c r="N79" s="2" t="s">
        <v>2677</v>
      </c>
      <c r="O79" s="2"/>
      <c r="P79" s="2"/>
    </row>
    <row r="80" spans="1:16" ht="13.2" customHeight="1" x14ac:dyDescent="0.25">
      <c r="A80" s="2">
        <v>78</v>
      </c>
      <c r="B80" s="2" t="s">
        <v>22946</v>
      </c>
      <c r="C80" s="2"/>
      <c r="D80" s="2" t="s">
        <v>22947</v>
      </c>
      <c r="E80" s="2" t="s">
        <v>22948</v>
      </c>
      <c r="F80" s="2" t="s">
        <v>22949</v>
      </c>
      <c r="G80" s="2" t="s">
        <v>22950</v>
      </c>
      <c r="H80" s="2" t="s">
        <v>22951</v>
      </c>
      <c r="I80" s="2">
        <v>5</v>
      </c>
      <c r="J80" s="2" t="s">
        <v>22952</v>
      </c>
      <c r="K80" s="2"/>
      <c r="L80" s="2" t="s">
        <v>22611</v>
      </c>
      <c r="M80" s="2" t="s">
        <v>9</v>
      </c>
      <c r="N80" s="2" t="s">
        <v>10600</v>
      </c>
      <c r="O80" s="2"/>
      <c r="P80" s="2"/>
    </row>
    <row r="81" spans="1:16" ht="13.2" customHeight="1" x14ac:dyDescent="0.25">
      <c r="A81" s="2">
        <v>79</v>
      </c>
      <c r="B81" s="2" t="s">
        <v>22953</v>
      </c>
      <c r="C81" s="2"/>
      <c r="D81" s="2" t="s">
        <v>345</v>
      </c>
      <c r="E81" s="2" t="s">
        <v>22803</v>
      </c>
      <c r="F81" s="2" t="s">
        <v>22954</v>
      </c>
      <c r="G81" s="2" t="s">
        <v>614</v>
      </c>
      <c r="H81" s="2" t="s">
        <v>346</v>
      </c>
      <c r="I81" s="2">
        <v>1</v>
      </c>
      <c r="J81" s="2" t="s">
        <v>22955</v>
      </c>
      <c r="K81" s="2"/>
      <c r="L81" s="2" t="s">
        <v>22611</v>
      </c>
      <c r="M81" s="2" t="s">
        <v>9</v>
      </c>
      <c r="N81" s="2" t="s">
        <v>3887</v>
      </c>
      <c r="O81" s="2"/>
      <c r="P81" s="2"/>
    </row>
    <row r="82" spans="1:16" ht="13.2" customHeight="1" x14ac:dyDescent="0.25">
      <c r="A82" s="2">
        <v>80</v>
      </c>
      <c r="B82" s="2" t="s">
        <v>22956</v>
      </c>
      <c r="C82" s="2"/>
      <c r="D82" s="2" t="s">
        <v>2950</v>
      </c>
      <c r="E82" s="2" t="s">
        <v>19962</v>
      </c>
      <c r="F82" s="2" t="s">
        <v>22670</v>
      </c>
      <c r="G82" s="2" t="s">
        <v>22674</v>
      </c>
      <c r="H82" s="2" t="s">
        <v>22957</v>
      </c>
      <c r="I82" s="2">
        <v>1</v>
      </c>
      <c r="J82" s="2" t="s">
        <v>22958</v>
      </c>
      <c r="K82" s="2"/>
      <c r="L82" s="2" t="s">
        <v>22611</v>
      </c>
      <c r="M82" s="2" t="s">
        <v>9</v>
      </c>
      <c r="N82" s="2" t="s">
        <v>4030</v>
      </c>
      <c r="O82" s="2"/>
      <c r="P82" s="2"/>
    </row>
    <row r="83" spans="1:16" ht="13.2" customHeight="1" x14ac:dyDescent="0.25">
      <c r="A83" s="2">
        <v>81</v>
      </c>
      <c r="B83" s="2" t="s">
        <v>22959</v>
      </c>
      <c r="C83" s="2"/>
      <c r="D83" s="2" t="s">
        <v>22674</v>
      </c>
      <c r="E83" s="2" t="s">
        <v>22675</v>
      </c>
      <c r="F83" s="2" t="s">
        <v>22676</v>
      </c>
      <c r="G83" s="2" t="s">
        <v>22680</v>
      </c>
      <c r="H83" s="2" t="s">
        <v>22667</v>
      </c>
      <c r="I83" s="2">
        <v>1</v>
      </c>
      <c r="J83" s="2" t="s">
        <v>22860</v>
      </c>
      <c r="K83" s="2"/>
      <c r="L83" s="2" t="s">
        <v>22611</v>
      </c>
      <c r="M83" s="2" t="s">
        <v>9</v>
      </c>
      <c r="N83" s="2" t="s">
        <v>1669</v>
      </c>
      <c r="O83" s="2"/>
      <c r="P83" s="2"/>
    </row>
    <row r="84" spans="1:16" ht="13.2" customHeight="1" x14ac:dyDescent="0.25">
      <c r="A84" s="2">
        <v>82</v>
      </c>
      <c r="B84" s="2" t="s">
        <v>22960</v>
      </c>
      <c r="C84" s="2"/>
      <c r="D84" s="2" t="s">
        <v>22680</v>
      </c>
      <c r="E84" s="2" t="s">
        <v>22667</v>
      </c>
      <c r="F84" s="2" t="s">
        <v>22668</v>
      </c>
      <c r="G84" s="2" t="s">
        <v>22669</v>
      </c>
      <c r="H84" s="2" t="s">
        <v>22670</v>
      </c>
      <c r="I84" s="2">
        <v>1</v>
      </c>
      <c r="J84" s="2" t="s">
        <v>22863</v>
      </c>
      <c r="K84" s="2"/>
      <c r="L84" s="2" t="s">
        <v>22611</v>
      </c>
      <c r="M84" s="2" t="s">
        <v>9</v>
      </c>
      <c r="N84" s="2" t="s">
        <v>22606</v>
      </c>
      <c r="O84" s="2"/>
      <c r="P84" s="2"/>
    </row>
    <row r="85" spans="1:16" ht="13.2" customHeight="1" x14ac:dyDescent="0.25">
      <c r="A85" s="2">
        <v>83</v>
      </c>
      <c r="B85" s="2" t="s">
        <v>22961</v>
      </c>
      <c r="C85" s="2"/>
      <c r="D85" s="2" t="s">
        <v>22669</v>
      </c>
      <c r="E85" s="2" t="s">
        <v>22670</v>
      </c>
      <c r="F85" s="2" t="s">
        <v>22674</v>
      </c>
      <c r="G85" s="2" t="s">
        <v>22675</v>
      </c>
      <c r="H85" s="2" t="s">
        <v>22676</v>
      </c>
      <c r="I85" s="2">
        <v>1</v>
      </c>
      <c r="J85" s="2" t="s">
        <v>22962</v>
      </c>
      <c r="K85" s="2"/>
      <c r="L85" s="2" t="s">
        <v>22611</v>
      </c>
      <c r="M85" s="2" t="s">
        <v>9</v>
      </c>
      <c r="N85" s="2" t="s">
        <v>3900</v>
      </c>
      <c r="O85" s="2"/>
      <c r="P85" s="2"/>
    </row>
    <row r="86" spans="1:16" ht="13.2" customHeight="1" x14ac:dyDescent="0.25">
      <c r="A86" s="2">
        <v>84</v>
      </c>
      <c r="B86" s="2" t="s">
        <v>22963</v>
      </c>
      <c r="C86" s="2"/>
      <c r="D86" s="2" t="s">
        <v>10989</v>
      </c>
      <c r="E86" s="2" t="s">
        <v>10995</v>
      </c>
      <c r="F86" s="2" t="s">
        <v>22964</v>
      </c>
      <c r="G86" s="2" t="s">
        <v>22965</v>
      </c>
      <c r="H86" s="2" t="s">
        <v>22966</v>
      </c>
      <c r="I86" s="2">
        <v>1</v>
      </c>
      <c r="J86" s="2" t="s">
        <v>22967</v>
      </c>
      <c r="K86" s="2"/>
      <c r="L86" s="2" t="s">
        <v>22611</v>
      </c>
      <c r="M86" s="2" t="s">
        <v>9</v>
      </c>
      <c r="N86" s="2" t="s">
        <v>22310</v>
      </c>
      <c r="O86" s="2"/>
      <c r="P86" s="2"/>
    </row>
    <row r="87" spans="1:16" ht="13.2" customHeight="1" x14ac:dyDescent="0.25">
      <c r="A87" s="2">
        <v>85</v>
      </c>
      <c r="B87" s="2" t="s">
        <v>22968</v>
      </c>
      <c r="C87" s="2"/>
      <c r="D87" s="2" t="s">
        <v>22730</v>
      </c>
      <c r="E87" s="2" t="s">
        <v>345</v>
      </c>
      <c r="F87" s="2" t="s">
        <v>3106</v>
      </c>
      <c r="G87" s="2" t="s">
        <v>2903</v>
      </c>
      <c r="H87" s="2" t="s">
        <v>22969</v>
      </c>
      <c r="I87" s="2">
        <v>2</v>
      </c>
      <c r="J87" s="2" t="s">
        <v>22970</v>
      </c>
      <c r="K87" s="2"/>
      <c r="L87" s="2" t="s">
        <v>22611</v>
      </c>
      <c r="M87" s="2" t="s">
        <v>9</v>
      </c>
      <c r="N87" s="2" t="s">
        <v>22971</v>
      </c>
      <c r="O87" s="2"/>
      <c r="P87" s="2"/>
    </row>
    <row r="88" spans="1:16" ht="13.2" x14ac:dyDescent="0.25">
      <c r="A88">
        <v>86</v>
      </c>
      <c r="B88" t="s">
        <v>22972</v>
      </c>
      <c r="D88" t="s">
        <v>22973</v>
      </c>
      <c r="E88" t="s">
        <v>22974</v>
      </c>
      <c r="F88" t="s">
        <v>22975</v>
      </c>
      <c r="G88" t="s">
        <v>22976</v>
      </c>
      <c r="H88" t="s">
        <v>22977</v>
      </c>
      <c r="I88" t="s">
        <v>84</v>
      </c>
      <c r="J88" t="s">
        <v>22978</v>
      </c>
      <c r="L88" t="s">
        <v>1645</v>
      </c>
      <c r="M88" t="s">
        <v>29</v>
      </c>
      <c r="N88" t="s">
        <v>22979</v>
      </c>
    </row>
  </sheetData>
  <mergeCells count="1">
    <mergeCell ref="A1:F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เวิร์กชีต</vt:lpstr>
      </vt:variant>
      <vt:variant>
        <vt:i4>41</vt:i4>
      </vt:variant>
    </vt:vector>
  </HeadingPairs>
  <TitlesOfParts>
    <vt:vector size="41" baseType="lpstr">
      <vt:lpstr>สารบัญ</vt:lpstr>
      <vt:lpstr>📥 รวมข้อสอบด่วน</vt:lpstr>
      <vt:lpstr>Log_Quiz_Results</vt:lpstr>
      <vt:lpstr>🔍 รวมข้อสอบ &amp; กรองข้อมูล</vt:lpstr>
      <vt:lpstr>1. Musculoskeleton</vt:lpstr>
      <vt:lpstr>2. Cardiovascular</vt:lpstr>
      <vt:lpstr>3. Dermatologic</vt:lpstr>
      <vt:lpstr>4. Endocrine</vt:lpstr>
      <vt:lpstr>5. Gastrointestinal</vt:lpstr>
      <vt:lpstr>6. Hematologic</vt:lpstr>
      <vt:lpstr>7. Immunologic</vt:lpstr>
      <vt:lpstr>8. Infectious diseases</vt:lpstr>
      <vt:lpstr>9. Neurologic</vt:lpstr>
      <vt:lpstr>10. Psychiatric</vt:lpstr>
      <vt:lpstr>11. Pulmonary</vt:lpstr>
      <vt:lpstr>12. GynaecologicGenitourinary</vt:lpstr>
      <vt:lpstr>13. Eye disorder</vt:lpstr>
      <vt:lpstr>14. Oncologic</vt:lpstr>
      <vt:lpstr>15. Renal</vt:lpstr>
      <vt:lpstr>16. Toxicology &amp; Poisoning</vt:lpstr>
      <vt:lpstr>1. Titrations</vt:lpstr>
      <vt:lpstr>2. Chromatography</vt:lpstr>
      <vt:lpstr>3. Spectroscopy &amp; Optics</vt:lpstr>
      <vt:lpstr>4. Preformulation &amp; GMP</vt:lpstr>
      <vt:lpstr>5. Pharmaceutical Calc</vt:lpstr>
      <vt:lpstr>6. Solid Dosage Forms</vt:lpstr>
      <vt:lpstr>7. Liquid &amp; Semisolids</vt:lpstr>
      <vt:lpstr>8. Biopharm &amp; Drug Release</vt:lpstr>
      <vt:lpstr>9. Sterile &amp; Special Forms</vt:lpstr>
      <vt:lpstr>10. Biotech Products</vt:lpstr>
      <vt:lpstr>11. Herbal Products</vt:lpstr>
      <vt:lpstr>12. Food Products &amp; QA</vt:lpstr>
      <vt:lpstr>13. Medicinal Chemistry</vt:lpstr>
      <vt:lpstr>1. Pharmacy Laws &amp; Ethics</vt:lpstr>
      <vt:lpstr>2. Pharmacy Administration &amp; Sy</vt:lpstr>
      <vt:lpstr>3. Research &amp; Biostats</vt:lpstr>
      <vt:lpstr>User_Profiles</vt:lpstr>
      <vt:lpstr>Community_Chat</vt:lpstr>
      <vt:lpstr>Report_Quiz_Issues</vt:lpstr>
      <vt:lpstr>18. Clinical Nutrition</vt:lpstr>
      <vt:lpstr>17. Herbal Medicine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Thanadol Nareekum</cp:lastModifiedBy>
  <dcterms:created xsi:type="dcterms:W3CDTF">2026-09-24T15:22:47Z</dcterms:created>
  <dcterms:modified xsi:type="dcterms:W3CDTF">2026-09-30T04:36:36Z</dcterms:modified>
</cp:coreProperties>
</file>